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firstSheet="1"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<sst xmlns="http://schemas.openxmlformats.org/spreadsheetml/2006/main" count="4106" uniqueCount="3082">
  <si>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</si>
  <si>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</si>
  <si>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</si>
  <si>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</si>
  <si>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</si>
  <si>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</si>
  <si>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</si>
  <si>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</si>
  <si>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</si>
  <si>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</si>
  <si>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</si>
  <si>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</si>
  <si>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</si>
  <si>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</si>
  <si>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</si>
  <si>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</si>
  <si>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</si>
  <si>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</si>
  <si>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</si>
  <si>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</si>
  <si>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</si>
  <si>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</si>
  <si>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</si>
  <si>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</si>
  <si>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</si>
  <si>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</si>
  <si>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</si>
  <si>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</si>
  <si>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</si>
  <si>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</si>
  <si>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</si>
  <si>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</si>
  <si>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</si>
  <si>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</si>
  <si>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</si>
  <si>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</si>
  <si>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</si>
  <si>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</si>
  <si>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</si>
  <si>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</si>
  <si>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</si>
  <si>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</si>
  <si>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</si>
  <si>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</si>
  <si>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</si>
  <si>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</si>
  <si>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</si>
  <si>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</si>
  <si>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</si>
  <si>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</si>
  <si>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</si>
  <si>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</si>
  <si>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</si>
  <si>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</si>
  <si>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</si>
  <si>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</si>
  <si>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</si>
  <si>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</si>
  <si>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</si>
  <si>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</si>
  <si>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</si>
  <si>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</si>
  <si>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</si>
  <si>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</si>
  <si>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</si>
  <si>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</si>
  <si>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</si>
  <si>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</si>
  <si>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</si>
  <si>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</si>
  <si>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</si>
  <si>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</si>
  <si>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</si>
  <si>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</si>
  <si>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</si>
  <si>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</si>
  <si>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</si>
  <si>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</si>
  <si>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</si>
  <si>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</si>
  <si>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</si>
  <si>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</si>
  <si>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</si>
  <si>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</si>
  <si>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</si>
  <si>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</si>
  <si>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</si>
  <si>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</si>
  <si>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</si>
  <si>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</si>
  <si>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</si>
  <si>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</si>
  <si>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</si>
  <si>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</si>
  <si>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</si>
  <si>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</si>
  <si>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</si>
  <si>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</si>
  <si>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</si>
  <si>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</si>
  <si>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</si>
  <si>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</si>
  <si>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</si>
  <si>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</si>
  <si>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</si>
  <si>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</si>
  <si>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</si>
  <si>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</si>
  <si>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</si>
  <si>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</si>
  <si>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</si>
  <si>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</si>
  <si>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</si>
  <si>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</si>
  <si>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</si>
  <si>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</si>
  <si>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</si>
  <si>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</si>
  <si>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</si>
  <si>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</si>
  <si>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</si>
  <si>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</si>
  <si>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</si>
  <si>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</si>
  <si>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</si>
  <si>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</si>
  <si>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</si>
  <si>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</si>
  <si>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</si>
  <si>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</si>
  <si>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</si>
  <si>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</si>
  <si>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</si>
  <si>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</si>
  <si>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</si>
  <si>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</si>
  <si>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</si>
  <si>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</si>
  <si>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</si>
  <si>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</si>
  <si>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</si>
  <si>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</si>
  <si>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</si>
  <si>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</si>
  <si>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</si>
  <si>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</si>
  <si>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</si>
  <si>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</si>
  <si>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</si>
  <si>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</si>
  <si>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</si>
  <si>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</si>
  <si>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</si>
  <si>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</si>
  <si>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</si>
  <si>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</si>
  <si>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</si>
  <si>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</si>
  <si>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</si>
  <si>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</si>
  <si>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</si>
  <si>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</si>
  <si>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</si>
  <si>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</si>
  <si>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</si>
  <si>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</si>
  <si>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</si>
  <si>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</si>
  <si>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</si>
  <si>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</si>
  <si>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</si>
  <si>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</si>
  <si>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</si>
  <si>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</si>
  <si>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</si>
  <si>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</si>
  <si>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</si>
  <si>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</si>
  <si>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</si>
  <si>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</si>
  <si>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</si>
  <si>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</si>
  <si>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</si>
  <si>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</si>
  <si>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</si>
  <si>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</si>
  <si>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</si>
  <si>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</si>
  <si>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</si>
  <si>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</si>
  <si>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</si>
  <si>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</si>
  <si>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</si>
  <si>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</si>
  <si>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</si>
  <si>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</si>
  <si>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</si>
  <si>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</si>
  <si>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</si>
  <si>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</si>
  <si>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</si>
  <si>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</si>
  <si>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</si>
  <si>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</si>
  <si>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</si>
  <si>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</si>
  <si>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</si>
  <si>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</si>
  <si>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</si>
  <si>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</si>
  <si>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</si>
  <si>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</si>
  <si>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</si>
  <si>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</si>
  <si>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</si>
  <si>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</si>
  <si>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</si>
  <si>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</si>
  <si>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</si>
  <si>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</si>
  <si>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</si>
  <si>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</si>
  <si>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</si>
  <si>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</si>
  <si>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</si>
  <si>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</si>
  <si>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</si>
  <si>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</si>
  <si>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</si>
  <si>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</si>
  <si>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</si>
  <si>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</si>
  <si>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</si>
  <si>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</si>
  <si>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</si>
  <si>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</si>
  <si>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</si>
  <si>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</si>
  <si>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</si>
  <si>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</si>
  <si>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</si>
  <si>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</si>
  <si>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</si>
  <si>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</si>
  <si>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</si>
  <si>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</si>
  <si>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</si>
  <si>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</si>
  <si>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</si>
  <si>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</si>
  <si>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</si>
  <si>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</si>
  <si>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</si>
  <si>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</si>
  <si>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</si>
  <si>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</si>
  <si>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</si>
  <si>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</si>
  <si>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</si>
  <si>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</si>
  <si>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</si>
  <si>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</si>
  <si>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</si>
  <si>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</si>
  <si>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</si>
  <si>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</si>
  <si>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</si>
  <si>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</si>
  <si>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</si>
  <si>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</si>
  <si>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</si>
  <si>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</si>
  <si>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</si>
  <si>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</si>
  <si>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</si>
  <si>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</si>
  <si>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</si>
  <si>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</si>
  <si>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</si>
  <si>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</si>
  <si>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</si>
  <si>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</si>
  <si>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</si>
  <si>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</si>
  <si>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</si>
  <si>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</si>
  <si>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</si>
  <si>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</si>
  <si>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</si>
  <si>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</si>
  <si>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</si>
  <si>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</si>
  <si>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</si>
  <si>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</si>
  <si>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</si>
  <si>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</si>
  <si>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</si>
  <si>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</si>
  <si>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</si>
  <si>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</si>
  <si>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</si>
  <si>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</si>
  <si>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</si>
  <si>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</si>
  <si>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</si>
  <si>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</si>
  <si>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</si>
  <si>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</si>
  <si>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</si>
  <si>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</si>
  <si>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</si>
  <si>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</si>
  <si>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</si>
  <si>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</si>
  <si>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</si>
  <si>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</si>
  <si>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</si>
  <si>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</si>
  <si>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</si>
  <si>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</si>
  <si>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</si>
  <si>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</si>
  <si>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</si>
  <si>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</si>
  <si>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</si>
  <si>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</si>
  <si>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</si>
  <si>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</si>
  <si>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</si>
  <si>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</si>
  <si>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</si>
  <si>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</si>
  <si>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</si>
  <si>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</si>
  <si>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</si>
  <si>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</si>
  <si>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</si>
  <si>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</si>
  <si>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</si>
  <si>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</si>
  <si>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</si>
  <si>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</si>
  <si>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</si>
  <si>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</si>
  <si>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</si>
  <si>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</si>
  <si>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</si>
  <si>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</si>
  <si>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</si>
  <si>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</si>
  <si>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</si>
  <si>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</si>
  <si>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</si>
  <si>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</si>
  <si>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</si>
  <si>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</si>
  <si>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</si>
  <si>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</si>
  <si>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</si>
  <si>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</si>
  <si>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</si>
  <si>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</si>
  <si>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</si>
  <si>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</si>
  <si>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</si>
  <si>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</si>
  <si>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</si>
  <si>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</si>
  <si>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</si>
  <si>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</si>
  <si>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</si>
  <si>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</si>
  <si>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</si>
  <si>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</si>
  <si>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</si>
  <si>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</si>
  <si>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</si>
  <si>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</si>
  <si>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</si>
  <si>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</si>
  <si>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</si>
  <si>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</si>
  <si>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</si>
  <si>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</si>
  <si>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</si>
  <si>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</si>
  <si>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</si>
  <si>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</si>
  <si>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</si>
  <si>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</si>
  <si>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</si>
  <si>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</si>
  <si>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</si>
  <si>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</si>
  <si>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</si>
  <si>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</si>
  <si>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</si>
  <si>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</si>
  <si>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</si>
  <si>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</si>
  <si>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</si>
  <si>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</si>
  <si>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</si>
  <si>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</si>
  <si>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</si>
  <si>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</si>
  <si>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</si>
  <si>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</si>
  <si>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</si>
  <si>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</si>
  <si>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</si>
  <si>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</si>
  <si>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</si>
  <si>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</si>
  <si>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</si>
  <si>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</si>
  <si>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</si>
  <si>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</si>
  <si>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</si>
  <si>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</si>
  <si>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</si>
  <si>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</si>
  <si>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</si>
  <si>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</si>
  <si>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</si>
  <si>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</si>
  <si>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</si>
  <si>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</si>
  <si>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</si>
  <si>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</si>
  <si>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</si>
  <si>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</si>
  <si>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</si>
  <si>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</si>
  <si>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</si>
  <si>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</si>
  <si>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</si>
  <si>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</si>
  <si>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</si>
  <si>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</si>
  <si>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</si>
  <si>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</si>
  <si>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</si>
  <si>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</si>
  <si>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</si>
  <si>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</si>
  <si>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</si>
  <si>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</si>
  <si>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</si>
  <si>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</si>
  <si>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</si>
  <si>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</si>
  <si>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</si>
  <si>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</si>
  <si>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</si>
  <si>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</si>
  <si>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</si>
  <si>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</si>
  <si>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</si>
  <si>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</si>
  <si>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</si>
  <si>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</si>
  <si>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</si>
  <si>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</si>
  <si>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</si>
  <si>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</si>
  <si>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</si>
  <si>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</si>
  <si>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</si>
  <si>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</si>
  <si>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</si>
  <si>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</si>
  <si>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</si>
  <si>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</si>
  <si>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</si>
  <si>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</si>
  <si>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</si>
  <si>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</si>
  <si>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</si>
  <si>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</si>
  <si>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</si>
  <si>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</si>
  <si>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</si>
  <si>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</si>
  <si>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</si>
  <si>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</si>
  <si>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</si>
  <si>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</si>
  <si>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</si>
  <si>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</si>
  <si>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</si>
  <si>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</si>
  <si>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</si>
  <si>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</si>
  <si>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</si>
  <si>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</si>
  <si>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</si>
  <si>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</si>
  <si>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</si>
  <si>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</si>
  <si>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</si>
  <si>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</si>
  <si>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</si>
  <si>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</si>
  <si>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</si>
  <si>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</si>
  <si>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</si>
  <si>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</si>
  <si>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</si>
  <si>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</si>
  <si>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</si>
  <si>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</si>
  <si>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</si>
  <si>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</si>
  <si>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</si>
  <si>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</si>
  <si>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</si>
  <si>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</si>
  <si>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</si>
  <si>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</si>
  <si>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</si>
  <si>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</si>
  <si>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</si>
  <si>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</si>
  <si>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</si>
  <si>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</si>
  <si>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</si>
  <si>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</si>
  <si>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</si>
  <si>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</si>
  <si>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</si>
  <si>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</si>
  <si>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</si>
  <si>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</si>
  <si>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</si>
  <si>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</si>
  <si>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</si>
  <si>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</si>
  <si>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</si>
  <si>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</si>
  <si>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</si>
  <si>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</si>
  <si>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</si>
  <si>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</si>
  <si>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</si>
  <si>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</si>
  <si>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</si>
  <si>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</si>
  <si>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</si>
  <si>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</si>
  <si>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</si>
  <si>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</si>
  <si>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</si>
  <si>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</si>
  <si>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</si>
  <si>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</si>
  <si>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</si>
  <si>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</si>
  <si>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</si>
  <si>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</si>
  <si>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</si>
  <si>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</si>
  <si>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</si>
  <si>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</si>
  <si>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</si>
  <si>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</si>
  <si>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</si>
  <si>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</si>
  <si>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</si>
  <si>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</si>
  <si>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</si>
  <si>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</si>
  <si>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</si>
  <si>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</si>
  <si>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</si>
  <si>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</si>
  <si>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</si>
  <si>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</si>
  <si>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</si>
  <si>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</si>
  <si>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</si>
  <si>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</si>
  <si>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</si>
  <si>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</si>
  <si>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</si>
  <si>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</si>
  <si>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</si>
  <si>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</si>
  <si>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</si>
  <si>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</si>
  <si>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</si>
  <si>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</si>
  <si>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</si>
  <si>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</si>
  <si>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</si>
  <si>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</si>
  <si>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</si>
  <si>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</si>
  <si>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</si>
  <si>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</si>
  <si>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</si>
  <si>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</si>
  <si>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</si>
  <si>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</si>
  <si>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</si>
  <si>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</si>
  <si>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</si>
  <si>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</si>
  <si>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</si>
  <si>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</si>
  <si>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</si>
  <si>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</si>
  <si>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</si>
  <si>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</si>
  <si>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</si>
  <si>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</si>
  <si>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</si>
  <si>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</si>
  <si>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</si>
  <si>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</si>
  <si>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</si>
  <si>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</si>
  <si>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</si>
  <si>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</si>
  <si>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</si>
  <si>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</si>
  <si>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</si>
  <si>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</si>
  <si>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</si>
  <si>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</si>
  <si>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</si>
  <si>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</si>
  <si>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</si>
  <si>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</si>
  <si>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</si>
  <si>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</si>
  <si>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</si>
  <si>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</si>
  <si>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</si>
  <si>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</si>
  <si>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</si>
  <si>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</si>
  <si>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</si>
  <si>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</si>
  <si>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</si>
  <si>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</si>
  <si>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</si>
  <si>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</si>
  <si>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</si>
  <si>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</si>
  <si>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</si>
  <si>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</si>
  <si>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</si>
  <si>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</si>
  <si>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</si>
  <si>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</si>
  <si>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</si>
  <si>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</si>
  <si>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</si>
  <si>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</si>
  <si>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</si>
  <si>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</si>
  <si>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</si>
  <si>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</si>
  <si>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</si>
  <si>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</si>
  <si>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</si>
  <si>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</si>
  <si>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</si>
  <si>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</si>
  <si>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</si>
  <si>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</si>
  <si>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</si>
  <si>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</si>
  <si>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</si>
  <si>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</si>
  <si>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</si>
  <si>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</si>
  <si>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</si>
  <si>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</si>
  <si>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</si>
  <si>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</si>
  <si>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</si>
  <si>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</si>
  <si>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</si>
  <si>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</si>
  <si>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</si>
  <si>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</si>
  <si>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</si>
  <si>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</si>
  <si>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</si>
  <si>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</si>
  <si>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</si>
  <si>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</si>
  <si>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</si>
  <si>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</si>
  <si>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</si>
  <si>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</si>
  <si>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</si>
  <si>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</si>
  <si>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</si>
  <si>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</si>
  <si>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</si>
  <si>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</si>
  <si>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</si>
  <si>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</si>
  <si>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</si>
  <si>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</si>
  <si>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</si>
  <si>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</si>
  <si>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</si>
  <si>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</si>
  <si>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</si>
  <si>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</si>
  <si>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</si>
  <si>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</si>
  <si>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</si>
  <si>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</si>
  <si>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</si>
  <si>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</si>
  <si>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</si>
  <si>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</si>
  <si>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</si>
  <si>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</si>
  <si>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</si>
  <si>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</si>
  <si>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</si>
  <si>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</si>
  <si>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</si>
  <si>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</si>
  <si>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</si>
  <si>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</si>
  <si>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</si>
  <si>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</si>
  <si>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</si>
  <si>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</si>
  <si>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</si>
  <si>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</si>
  <si>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</si>
  <si>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</si>
  <si>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</si>
  <si>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</si>
  <si>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</si>
  <si>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</si>
  <si>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</si>
  <si>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</si>
  <si>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</si>
  <si>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</si>
  <si>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</si>
  <si>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</si>
  <si>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</si>
  <si>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</si>
  <si>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</si>
  <si>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</si>
  <si>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</si>
  <si>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</si>
  <si>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</si>
  <si>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</si>
  <si>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</si>
  <si>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</si>
  <si>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</si>
  <si>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</si>
  <si>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</si>
  <si>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</si>
  <si>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</si>
  <si>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</si>
  <si>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</si>
  <si>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</si>
  <si>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</si>
  <si>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</si>
  <si>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</si>
  <si>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</si>
  <si>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</si>
  <si>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</si>
  <si>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</si>
  <si>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</si>
  <si>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</si>
  <si>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</si>
  <si>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</si>
  <si>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</si>
  <si>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</si>
  <si>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</si>
  <si>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</si>
  <si>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</si>
  <si>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</si>
  <si>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</si>
  <si>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</si>
  <si>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</si>
  <si>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</si>
  <si>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</si>
  <si>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</si>
  <si>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</si>
  <si>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</si>
  <si>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</si>
  <si>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</si>
  <si>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</si>
  <si>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</si>
  <si>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</si>
  <si>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</si>
  <si>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</si>
  <si>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</si>
  <si>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</si>
  <si>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</si>
  <si>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</si>
  <si>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</si>
  <si>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</si>
  <si>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</si>
  <si>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</si>
  <si>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</si>
  <si>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</si>
  <si>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</si>
  <si>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</si>
  <si>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</si>
  <si>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</si>
  <si>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</si>
  <si>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</si>
  <si>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</si>
  <si>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</si>
  <si>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</si>
  <si>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</si>
  <si>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</si>
  <si>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</si>
  <si>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</si>
  <si>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</si>
  <si>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</si>
  <si>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</si>
  <si>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</si>
  <si>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</si>
  <si>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</si>
  <si>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</si>
  <si>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</si>
  <si>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</si>
  <si>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</si>
  <si>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</si>
  <si>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</si>
  <si>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</si>
  <si>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</si>
  <si>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</si>
  <si>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</si>
  <si>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</si>
  <si>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</si>
  <si>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</si>
  <si>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</si>
  <si>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</si>
  <si>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</si>
  <si>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</si>
  <si>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</si>
  <si>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</si>
  <si>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</si>
  <si>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</si>
  <si>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</si>
  <si>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</si>
  <si>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</si>
  <si>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</si>
  <si>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</si>
  <si>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</si>
  <si>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</si>
  <si>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</si>
  <si>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</si>
  <si>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</si>
  <si>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</si>
  <si>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</si>
  <si>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</si>
  <si>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</si>
  <si>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</si>
  <si>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</si>
  <si>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</si>
  <si>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</si>
  <si>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</si>
  <si>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</si>
  <si>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</si>
  <si>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</si>
  <si>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</si>
  <si>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</si>
  <si>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</si>
  <si>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</si>
  <si>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</si>
  <si>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</si>
  <si>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</si>
  <si>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</si>
  <si>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</si>
  <si>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</si>
  <si>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</si>
  <si>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</si>
  <si>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</si>
  <si>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</si>
  <si>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</si>
  <si>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</si>
  <si>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</si>
  <si>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</si>
  <si>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</si>
  <si>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</si>
  <si>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</si>
  <si>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</si>
  <si>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</si>
  <si>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</si>
  <si>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</si>
  <si>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</si>
  <si>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</si>
  <si>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</si>
  <si>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</si>
  <si>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</si>
  <si>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</si>
  <si>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</si>
  <si>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</si>
  <si>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</si>
  <si>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</si>
  <si>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</si>
  <si>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</si>
  <si>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</si>
  <si>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</si>
  <si>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</si>
  <si>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</si>
  <si>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</si>
  <si>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</si>
  <si>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</si>
  <si>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</si>
  <si>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</si>
  <si>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</si>
  <si>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</si>
  <si>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</si>
  <si>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</si>
  <si>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</si>
  <si>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</si>
  <si>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</si>
  <si>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</si>
  <si>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</si>
  <si>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</si>
  <si>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</si>
  <si>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</si>
  <si>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</si>
  <si>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</si>
  <si>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</si>
  <si>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</si>
  <si>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</si>
  <si>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</si>
  <si>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</si>
  <si>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</si>
  <si>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</si>
  <si>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</si>
  <si>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</si>
  <si>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</si>
  <si>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</si>
  <si>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</si>
  <si>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</si>
  <si>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</si>
  <si>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</si>
  <si>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</si>
  <si>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</si>
  <si>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</si>
  <si>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</si>
  <si>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</si>
  <si>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</si>
  <si>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</si>
  <si>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</si>
  <si>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</si>
  <si>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</si>
  <si>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</si>
  <si>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</si>
  <si>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</si>
  <si>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</si>
  <si>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</si>
  <si>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</si>
  <si>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</si>
  <si>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</si>
  <si>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</si>
  <si>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</si>
  <si>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</si>
  <si>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</si>
  <si>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</si>
  <si>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</si>
  <si>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</si>
  <si>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</si>
  <si>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</si>
  <si>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</si>
  <si>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</si>
  <si>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</si>
  <si>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</si>
  <si>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</si>
  <si>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</si>
  <si>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</si>
  <si>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</si>
  <si>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</si>
  <si>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</si>
  <si>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</si>
  <si>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</si>
  <si>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</si>
  <si>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</si>
  <si>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</si>
  <si>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</si>
  <si>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</si>
  <si>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</si>
  <si>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</si>
  <si>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</si>
  <si>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</si>
  <si>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</si>
  <si>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</si>
  <si>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</si>
  <si>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</si>
  <si>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</si>
  <si>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</si>
  <si>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</si>
  <si>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</si>
  <si>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</si>
  <si>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</si>
  <si>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</si>
  <si>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</si>
  <si>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</si>
  <si>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</si>
  <si>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</si>
  <si>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</si>
  <si>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</si>
  <si>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</si>
  <si>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</si>
  <si>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</si>
  <si>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</si>
  <si>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</si>
  <si>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</si>
  <si>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</si>
  <si>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</si>
  <si>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</si>
  <si>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</si>
  <si>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</si>
  <si>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</si>
  <si>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</si>
  <si>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</si>
  <si>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</si>
  <si>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</si>
  <si>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</si>
  <si>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</si>
  <si>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</si>
  <si>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</si>
  <si>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</si>
  <si>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</si>
  <si>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</si>
  <si>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</si>
  <si>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</si>
  <si>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</si>
  <si>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</si>
  <si>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</si>
  <si>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</si>
  <si>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</si>
  <si>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</si>
  <si>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</si>
  <si>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</si>
  <si>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</si>
  <si>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</si>
  <si>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</si>
  <si>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</si>
  <si>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</si>
  <si>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</si>
  <si>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</si>
  <si>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</si>
  <si>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</si>
  <si>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</si>
  <si>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</si>
  <si>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</si>
  <si>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</si>
  <si>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</si>
  <si>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</si>
  <si>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</si>
  <si>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</si>
  <si>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</si>
  <si>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</si>
  <si>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</si>
  <si>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</si>
  <si>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</si>
  <si>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</si>
  <si>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</si>
  <si>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</si>
  <si>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</si>
  <si>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</si>
  <si>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</si>
  <si>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</si>
  <si>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</si>
  <si>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</si>
  <si>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</si>
  <si>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</si>
  <si>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</si>
  <si>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</si>
  <si>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</si>
  <si>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</si>
  <si>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</si>
  <si>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</si>
  <si>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</si>
  <si>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</si>
  <si>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</si>
  <si>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</si>
  <si>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</si>
  <si>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</si>
  <si>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</si>
  <si>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</si>
  <si>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</si>
  <si>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</si>
  <si>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</si>
  <si>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</si>
  <si>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</si>
  <si>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</si>
  <si>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</si>
  <si>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</si>
  <si>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</si>
  <si>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</si>
  <si>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</si>
  <si>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</si>
  <si>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</si>
  <si>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</si>
  <si>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</si>
  <si>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</si>
  <si>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</si>
  <si>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</si>
  <si>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</si>
  <si>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</si>
  <si>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</si>
  <si>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</si>
  <si>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</si>
  <si>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</si>
  <si>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</si>
  <si>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</si>
  <si>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</si>
  <si>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</si>
  <si>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</si>
  <si>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</si>
  <si>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</si>
  <si>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</si>
  <si>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</si>
  <si>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</si>
  <si>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</si>
  <si>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</si>
  <si>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</si>
  <si>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</si>
  <si>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</si>
  <si>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</si>
  <si>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</si>
  <si>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</si>
  <si>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</si>
  <si>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</si>
  <si>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</si>
  <si>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</si>
  <si>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</si>
  <si>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</si>
  <si>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</si>
  <si>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</si>
  <si>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</si>
  <si>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</si>
  <si>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</si>
  <si>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</si>
  <si>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</si>
  <si>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</si>
  <si>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</si>
  <si>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</si>
  <si>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</si>
  <si>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</si>
  <si>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</si>
  <si>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</si>
  <si>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</si>
  <si>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</si>
  <si>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</si>
  <si>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</si>
  <si>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</si>
  <si>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</si>
  <si>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</si>
  <si>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</si>
  <si>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</si>
  <si>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</si>
  <si>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</si>
  <si>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</si>
  <si>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</si>
  <si>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</si>
  <si>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</si>
  <si>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</si>
  <si>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</si>
  <si>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</si>
  <si>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</si>
  <si>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</si>
  <si>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</si>
  <si>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</si>
  <si>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</si>
  <si>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</si>
  <si>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</si>
  <si>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</si>
  <si>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</si>
  <si>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</si>
  <si>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</si>
  <si>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</si>
  <si>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</si>
  <si>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</si>
  <si>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</si>
  <si>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</si>
  <si>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</si>
  <si>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</si>
  <si>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</si>
  <si>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</si>
  <si>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</si>
  <si>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</si>
  <si>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</si>
  <si>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</si>
  <si>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</si>
  <si>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</si>
  <si>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</si>
  <si>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</si>
  <si>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</si>
  <si>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</si>
  <si>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</si>
  <si>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</si>
  <si>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</si>
  <si>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</si>
  <si>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</si>
  <si>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</si>
  <si>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</si>
  <si>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</si>
  <si>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</si>
  <si>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</si>
  <si>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</si>
  <si>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</si>
  <si>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</si>
  <si>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</si>
  <si>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</si>
  <si>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</si>
  <si>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</si>
  <si>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</si>
  <si>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</si>
  <si>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</si>
  <si>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</si>
  <si>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</si>
  <si>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</si>
  <si>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</si>
  <si>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</si>
  <si>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</si>
  <si>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</si>
  <si>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</si>
  <si>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</si>
  <si>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</si>
  <si>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</si>
  <si>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</si>
  <si>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</si>
  <si>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</si>
  <si>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</si>
  <si>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</si>
  <si>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</si>
  <si>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</si>
  <si>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</si>
  <si>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</si>
  <si>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</si>
  <si>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</si>
  <si>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</si>
  <si>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</si>
  <si>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</si>
  <si>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</si>
  <si>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</si>
  <si>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</si>
  <si>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</si>
  <si>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</si>
  <si>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</si>
  <si>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</si>
  <si>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</si>
  <si>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</si>
  <si>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</si>
  <si>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</si>
  <si>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</si>
  <si>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</si>
  <si>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</si>
  <si>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</si>
  <si>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</si>
  <si>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</si>
  <si>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</si>
  <si>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</si>
  <si>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</si>
  <si>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</si>
  <si>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</si>
  <si>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</si>
  <si>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</si>
  <si>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</si>
  <si>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</si>
  <si>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</si>
  <si>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</si>
  <si>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</si>
  <si>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</si>
  <si>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</si>
  <si>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</si>
  <si>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</si>
  <si>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</si>
  <si>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</si>
  <si>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</si>
  <si>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</si>
  <si>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</si>
  <si>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</si>
  <si>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</si>
  <si>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</si>
  <si>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</si>
  <si>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</si>
  <si>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</si>
  <si>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</si>
  <si>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</si>
  <si>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</si>
  <si>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</si>
  <si>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</si>
  <si>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</si>
  <si>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</si>
  <si>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</si>
  <si>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</si>
  <si>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</si>
  <si>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</si>
  <si>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</si>
  <si>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</si>
  <si>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</si>
  <si>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</si>
  <si>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</si>
  <si>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</si>
  <si>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</si>
  <si>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</si>
  <si>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</si>
  <si>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</si>
  <si>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</si>
  <si>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</si>
  <si>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</si>
  <si>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</si>
  <si>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</si>
  <si>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</si>
  <si>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</si>
  <si>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</si>
  <si>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</si>
  <si>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</si>
  <si>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</si>
  <si>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</si>
  <si>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</si>
  <si>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</si>
  <si>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</si>
  <si>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</si>
  <si>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</si>
  <si>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</si>
  <si>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</si>
  <si>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</si>
  <si>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</si>
  <si>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</si>
  <si>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</si>
  <si>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</si>
  <si>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</si>
  <si>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</si>
  <si>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</si>
  <si>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</si>
  <si>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</si>
  <si>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</si>
  <si>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</si>
  <si>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</si>
  <si>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</si>
  <si>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</si>
  <si>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</si>
  <si>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</si>
  <si>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</si>
  <si>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</si>
  <si>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</si>
  <si>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</si>
  <si>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</si>
  <si>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</si>
  <si>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</si>
  <si>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</si>
  <si>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</si>
  <si>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</si>
  <si>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</si>
  <si>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</si>
  <si>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</si>
  <si>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</si>
  <si>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</si>
  <si>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</si>
  <si>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</si>
  <si>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</si>
  <si>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</si>
  <si>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</si>
  <si>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</si>
  <si>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</si>
  <si>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</si>
  <si>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</si>
  <si>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</si>
  <si>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</si>
  <si>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</si>
  <si>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</si>
  <si>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</si>
  <si>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</si>
  <si>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</si>
  <si>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</si>
  <si>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</si>
  <si>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</si>
  <si>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</si>
  <si>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</si>
  <si>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</si>
  <si>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</si>
  <si>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</si>
  <si>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</si>
  <si>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</si>
  <si>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</si>
  <si>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</si>
  <si>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</si>
  <si>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</si>
  <si>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</si>
  <si>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</si>
  <si>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</si>
  <si>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</si>
  <si>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</si>
  <si>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</si>
  <si>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</si>
  <si>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</si>
  <si>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</si>
  <si>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</si>
  <si>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</si>
  <si>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</si>
  <si>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</si>
  <si>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</si>
  <si>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</si>
  <si>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</si>
  <si>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</si>
  <si>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</si>
  <si>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</si>
  <si>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</si>
  <si>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</si>
  <si>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</si>
  <si>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</si>
  <si>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</si>
  <si>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</si>
  <si>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</si>
  <si>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</si>
  <si>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</si>
  <si>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</si>
  <si>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</si>
  <si>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</si>
  <si>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</si>
  <si>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</si>
  <si>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</si>
  <si>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</si>
  <si>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</si>
  <si>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</si>
  <si>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</si>
  <si>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</si>
  <si>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</si>
  <si>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</si>
  <si>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</si>
  <si>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</si>
  <si>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</si>
  <si>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</si>
  <si>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</si>
  <si>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</si>
  <si>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</si>
  <si>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</si>
  <si>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</si>
  <si>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</si>
  <si>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</si>
  <si>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</si>
  <si>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</si>
  <si>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</si>
  <si>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</si>
  <si>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</si>
  <si>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</si>
  <si>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</si>
  <si>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</si>
  <si>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</si>
  <si>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</si>
  <si>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</si>
  <si>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</si>
  <si>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</si>
  <si>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</si>
  <si>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</si>
  <si>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</si>
  <si>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</si>
  <si>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</si>
  <si>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</si>
  <si>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</si>
  <si>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</si>
  <si>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</si>
  <si>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</si>
  <si>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</si>
  <si>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</si>
  <si>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</si>
  <si>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</si>
  <si>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</si>
  <si>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</si>
  <si>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</si>
  <si>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</si>
  <si>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</si>
  <si>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</si>
  <si>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</si>
  <si>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</si>
  <si>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</si>
  <si>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</si>
  <si>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</si>
  <si>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</si>
  <si>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</si>
  <si>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</si>
  <si>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</si>
  <si>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</si>
  <si>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</si>
  <si>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</si>
  <si>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</si>
  <si>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</si>
  <si>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</si>
  <si>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</si>
  <si>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</si>
  <si>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</si>
  <si>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</si>
  <si>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</si>
  <si>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</si>
  <si>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</si>
  <si>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</si>
  <si>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</si>
  <si>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</si>
  <si>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</si>
  <si>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</si>
  <si>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</si>
  <si>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</si>
  <si>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</si>
  <si>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</si>
  <si>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</si>
  <si>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</si>
  <si>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</si>
  <si>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</si>
  <si>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</si>
  <si>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</si>
  <si>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</si>
  <si>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</si>
  <si>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</si>
  <si>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</si>
  <si>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</si>
  <si>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</si>
  <si>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</si>
  <si>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</si>
  <si>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</si>
  <si>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</si>
  <si>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</si>
  <si>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</si>
  <si>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</si>
  <si>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</si>
  <si>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</si>
  <si>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</si>
  <si>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</si>
  <si>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</si>
  <si>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</si>
  <si>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</si>
  <si>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</si>
  <si>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</si>
  <si>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</si>
  <si>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</si>
  <si>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</si>
  <si>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</si>
  <si>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</si>
  <si>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</si>
  <si>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</si>
  <si>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</si>
  <si>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</si>
  <si>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</si>
  <si>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</si>
  <si>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</si>
  <si>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</si>
  <si>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</si>
  <si>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</si>
  <si>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</si>
  <si>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</si>
  <si>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</si>
  <si>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</si>
  <si>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</si>
  <si>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</si>
  <si>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</si>
  <si>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</si>
  <si>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</si>
  <si>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</si>
  <si>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</si>
  <si>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</si>
  <si>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</si>
  <si>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</si>
  <si>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</si>
  <si>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</si>
  <si>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</si>
  <si>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</si>
  <si>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</si>
  <si>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</si>
  <si>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</si>
  <si>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</si>
  <si>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</si>
  <si>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</si>
  <si>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</si>
  <si>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</si>
  <si>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</si>
  <si>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</si>
  <si>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</si>
  <si>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</si>
  <si>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</si>
  <si>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</si>
  <si>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</si>
  <si>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</si>
  <si>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</si>
  <si>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</si>
  <si>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</si>
  <si>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</si>
  <si>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</si>
  <si>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</si>
  <si>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</si>
  <si>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</si>
  <si>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</si>
  <si>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</si>
  <si>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</si>
  <si>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</si>
  <si>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</si>
  <si>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</si>
  <si>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</si>
  <si>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</si>
  <si>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</si>
  <si>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</si>
  <si>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</si>
  <si>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</si>
  <si>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</si>
  <si>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</si>
  <si>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</si>
  <si>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</si>
  <si>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</si>
  <si>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</si>
  <si>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</si>
  <si>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</si>
  <si>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</si>
  <si>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</si>
  <si>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</si>
  <si>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</si>
  <si>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</si>
  <si>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</si>
  <si>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</si>
  <si>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</si>
  <si>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</si>
  <si>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</si>
  <si>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</si>
  <si>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</si>
  <si>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</si>
  <si>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</si>
  <si>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</si>
  <si>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</si>
  <si>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</si>
  <si>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</si>
  <si>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</si>
  <si>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</si>
  <si>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</si>
  <si>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</si>
  <si>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</si>
  <si>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</si>
  <si>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</si>
  <si>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</si>
  <si>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</si>
  <si>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</si>
  <si>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</si>
  <si>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</si>
  <si>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</si>
  <si>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</si>
  <si>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</si>
  <si>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</si>
  <si>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</si>
  <si>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</si>
  <si>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</si>
  <si>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</si>
  <si>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</si>
  <si>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</si>
  <si>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</si>
  <si>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</si>
  <si>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</si>
  <si>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</si>
  <si>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</si>
  <si>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</si>
  <si>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</si>
  <si>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</si>
  <si>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</si>
  <si>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</si>
  <si>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</si>
  <si>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</si>
  <si>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</si>
  <si>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</si>
  <si>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</si>
  <si>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</si>
  <si>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</si>
  <si>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</si>
  <si>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</si>
  <si>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</si>
  <si>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</si>
  <si>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</si>
  <si>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</si>
  <si>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</si>
  <si>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</si>
  <si>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</si>
  <si>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</si>
  <si>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</si>
  <si>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</si>
  <si>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</si>
  <si>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</si>
  <si>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</si>
  <si>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</si>
  <si>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</si>
  <si>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</si>
  <si>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</si>
  <si>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</si>
  <si>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</si>
  <si>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</si>
  <si>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</si>
  <si>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</si>
  <si>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</si>
  <si>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</si>
  <si>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</si>
  <si>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</si>
  <si>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</si>
  <si>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</si>
  <si>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</si>
  <si>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</si>
  <si>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</si>
  <si>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</si>
  <si>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</si>
  <si>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</si>
  <si>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</si>
  <si>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</si>
  <si>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</si>
  <si>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</si>
  <si>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</si>
  <si>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</si>
  <si>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</si>
  <si>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</si>
  <si>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</si>
  <si>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</si>
  <si>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</si>
  <si>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</si>
  <si>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</si>
  <si>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</si>
  <si>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</si>
  <si>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</si>
  <si>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</si>
  <si>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</si>
  <si>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</si>
  <si>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</si>
  <si>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</si>
  <si>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</si>
  <si>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</si>
  <si>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</si>
  <si>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</si>
  <si>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</si>
  <si>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</si>
  <si>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</si>
  <si>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</si>
  <si>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</si>
  <si>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</si>
  <si>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</si>
  <si>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</si>
  <si>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</si>
  <si>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</si>
  <si>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</si>
  <si>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</si>
  <si>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</si>
  <si>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</si>
  <si>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</si>
  <si>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</si>
  <si>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</si>
  <si>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</si>
  <si>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</si>
  <si>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</si>
  <si>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</si>
  <si>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</si>
  <si>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</si>
  <si>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</si>
  <si>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</si>
  <si>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</si>
  <si>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</si>
  <si>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</si>
  <si>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</si>
  <si>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</si>
  <si>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</si>
  <si>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</si>
  <si>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</si>
  <si>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</si>
  <si>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</si>
  <si>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</si>
  <si>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</si>
  <si>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</si>
  <si>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</si>
  <si>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</si>
  <si>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</si>
  <si>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</si>
  <si>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</si>
  <si>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</si>
  <si>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</si>
  <si>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</si>
  <si>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</si>
  <si>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</si>
  <si>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</si>
  <si>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</si>
  <si>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</si>
  <si>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</si>
  <si>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</si>
  <si>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</si>
  <si>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</si>
  <si>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</si>
  <si>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</si>
  <si>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</si>
  <si>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</si>
  <si>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</si>
  <si>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</si>
  <si>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</si>
  <si>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</si>
  <si>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</si>
  <si>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</si>
  <si>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</si>
  <si>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</si>
  <si>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</si>
  <si>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</si>
  <si>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</si>
  <si>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</si>
  <si>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</si>
  <si>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</si>
  <si>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</si>
  <si>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</si>
  <si>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</si>
  <si>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</si>
  <si>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</si>
  <si>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</si>
  <si>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</si>
  <si>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</si>
  <si>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</si>
  <si>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</si>
  <si>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</si>
  <si>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</si>
  <si>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</si>
  <si>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</si>
  <si>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</si>
  <si>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</si>
  <si>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</si>
  <si>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</si>
  <si>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</si>
  <si>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</si>
  <si>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</si>
  <si>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</si>
  <si>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</si>
  <si>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</si>
  <si>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</si>
  <si>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</si>
  <si>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</si>
  <si>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</si>
  <si>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</si>
  <si>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</si>
  <si>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</si>
  <si>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</si>
  <si>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</si>
  <si>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</si>
  <si>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</si>
  <si>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</si>
  <si>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</si>
  <si>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</si>
  <si>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</si>
  <si>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</si>
  <si>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</si>
  <si>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</si>
  <si>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</si>
  <si>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</si>
  <si>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</si>
  <si>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</si>
  <si>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</si>
  <si>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</si>
  <si>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</si>
  <si>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</si>
  <si>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</si>
  <si>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</si>
  <si>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</si>
  <si>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</si>
  <si>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</si>
  <si>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</si>
  <si>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</si>
  <si>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</si>
  <si>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</si>
  <si>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</si>
  <si>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</si>
  <si>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</si>
  <si>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</si>
  <si>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</si>
  <si>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</si>
  <si>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</si>
  <si>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</si>
  <si>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</si>
  <si>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</si>
  <si>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</si>
  <si>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</si>
  <si>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</si>
  <si>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</si>
  <si>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</si>
  <si>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</si>
  <si>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</si>
  <si>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</si>
  <si>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</si>
  <si>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</si>
  <si>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</si>
  <si>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</si>
  <si>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</si>
  <si>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</si>
  <si>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</si>
  <si>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</si>
  <si>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</si>
  <si>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</si>
  <si>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</si>
  <si>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</si>
  <si>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</si>
  <si>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</si>
  <si>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</si>
  <si>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</si>
  <si>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</si>
  <si>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</si>
  <si>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</si>
  <si>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</si>
  <si>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</si>
  <si>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</si>
  <si>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</si>
  <si>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</si>
  <si>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</si>
  <si>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</si>
  <si>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</si>
  <si>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</si>
  <si>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</si>
  <si>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</si>
  <si>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</si>
  <si>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</si>
  <si>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</si>
  <si>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</si>
  <si>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</si>
  <si>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</si>
  <si>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</si>
  <si>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</si>
  <si>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</si>
  <si>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</si>
  <si>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</si>
  <si>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</si>
  <si>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</si>
  <si>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</si>
  <si>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</si>
  <si>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</si>
  <si>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</si>
  <si>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</si>
  <si>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</si>
  <si>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</si>
  <si>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</si>
  <si>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</si>
  <si>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</si>
  <si>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</si>
  <si>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</si>
  <si>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</si>
  <si>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</si>
  <si>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</si>
  <si>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</si>
  <si>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</si>
  <si>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</si>
  <si>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</si>
  <si>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</si>
  <si>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</si>
  <si>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</si>
  <si>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</si>
  <si>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</si>
  <si>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</si>
  <si>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</si>
  <si>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</si>
  <si>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</si>
  <si>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</si>
  <si>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</si>
  <si>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</si>
  <si>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</si>
  <si>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</si>
  <si>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</si>
  <si>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</si>
  <si>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</si>
  <si>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</si>
  <si>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</si>
  <si>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</si>
  <si>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</si>
  <si>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</si>
  <si>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</si>
  <si>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</si>
  <si>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</si>
  <si>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</si>
  <si>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</si>
  <si>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</si>
  <si>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</si>
  <si>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</si>
  <si>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</si>
  <si>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</si>
  <si>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</si>
  <si>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</si>
  <si>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</si>
  <si>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</si>
  <si>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</si>
  <si>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</si>
  <si>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</si>
  <si>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</si>
  <si>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</si>
  <si>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</si>
  <si>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</si>
  <si>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</si>
  <si>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</si>
  <si>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</si>
  <si>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</si>
  <si>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</si>
  <si>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</si>
  <si>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</si>
  <si>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</si>
  <si>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</si>
  <si>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</si>
  <si>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</si>
  <si>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</si>
  <si>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</si>
  <si>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</si>
  <si>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</si>
  <si>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</si>
  <si>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</si>
  <si>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</si>
  <si>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</si>
  <si>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</si>
  <si>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</si>
  <si>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</si>
  <si>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</si>
  <si>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</si>
  <si>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</si>
  <si>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</si>
  <si>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</si>
  <si>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</si>
  <si>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</si>
  <si>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</si>
  <si>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</si>
  <si>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</si>
  <si>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</si>
  <si>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</si>
  <si>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</si>
  <si>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</si>
  <si>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</si>
  <si>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</si>
  <si>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</si>
  <si>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</si>
  <si>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</si>
  <si>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</si>
  <si>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</si>
  <si>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</si>
  <si>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</si>
  <si>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</si>
  <si>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</si>
  <si>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</si>
  <si>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</si>
  <si>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</si>
  <si>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</si>
  <si>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</si>
  <si>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</si>
  <si>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</si>
  <si>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</si>
  <si>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</si>
  <si>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</si>
  <si>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</si>
  <si>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</si>
  <si>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</si>
  <si>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</si>
  <si>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</si>
  <si>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</si>
  <si>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</si>
  <si>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</si>
  <si>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</si>
  <si>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</si>
  <si>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</si>
  <si>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</si>
  <si>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</si>
  <si>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</si>
  <si>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</si>
  <si>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</si>
  <si>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</si>
  <si>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</si>
  <si>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</si>
  <si>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</si>
  <si>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</si>
  <si>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</si>
  <si>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</si>
  <si>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</si>
  <si>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</si>
  <si>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</si>
  <si>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</si>
  <si>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</si>
  <si>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</si>
  <si>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</si>
  <si>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</si>
  <si>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</si>
  <si>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</si>
  <si>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</si>
  <si>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</si>
  <si>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</si>
  <si>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</si>
  <si>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</si>
  <si>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</si>
  <si>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</si>
  <si>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</si>
  <si>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</si>
  <si>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</si>
  <si>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</si>
  <si>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</si>
  <si>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</si>
  <si>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</si>
  <si>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</si>
  <si>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</si>
  <si>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</si>
  <si>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</si>
  <si>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</si>
  <si>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</si>
  <si>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</si>
  <si>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</si>
  <si>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</si>
  <si>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</si>
  <si>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</si>
  <si>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</si>
  <si>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</si>
  <si>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</si>
  <si>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</si>
  <si>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</si>
  <si>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</si>
  <si>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</si>
  <si>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</si>
  <si>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</si>
  <si>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</si>
  <si>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</si>
  <si>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</si>
  <si>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</si>
  <si>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</si>
  <si>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</si>
  <si>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</si>
  <si>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</si>
  <si>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</si>
  <si>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</si>
  <si>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</si>
  <si>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</si>
  <si>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</si>
  <si>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</si>
  <si>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</si>
  <si>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</si>
  <si>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</si>
  <si>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</si>
  <si>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</si>
  <si>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</si>
  <si>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</si>
  <si>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</si>
  <si>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</si>
  <si>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</si>
  <si>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</si>
  <si>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</si>
  <si>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</si>
  <si>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</si>
  <si>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</si>
  <si>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</si>
  <si>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</si>
  <si>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</si>
  <si>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</si>
  <si>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</si>
  <si>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</si>
  <si>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</si>
  <si>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</si>
  <si>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</si>
  <si>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</si>
  <si>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</si>
  <si>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</si>
  <si>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</si>
  <si>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</si>
  <si>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</si>
  <si>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</si>
  <si>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</si>
  <si>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</si>
  <si>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</si>
  <si>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</si>
  <si>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</si>
  <si>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</si>
  <si>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</si>
  <si>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</si>
  <si>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</si>
  <si>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</si>
  <si>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</si>
  <si>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</si>
  <si>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</si>
  <si>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</si>
  <si>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</si>
  <si>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</si>
  <si>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</si>
  <si>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</si>
  <si>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</si>
  <si>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</si>
  <si>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</si>
  <si>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</si>
  <si>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</si>
  <si>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</si>
  <si>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</si>
  <si>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</si>
  <si>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</si>
  <si>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</si>
  <si>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</si>
  <si>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</si>
  <si>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</si>
  <si>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</si>
  <si>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</si>
  <si>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</si>
  <si>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</si>
  <si>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</si>
  <si>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</si>
  <si>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</si>
  <si>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</si>
  <si>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</si>
  <si>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</si>
  <si>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</si>
  <si>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</si>
  <si>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</si>
  <si>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</si>
  <si>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</si>
  <si>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</si>
  <si>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</si>
  <si>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</si>
  <si>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</si>
  <si>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</si>
  <si>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</si>
  <si>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</si>
  <si>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</si>
  <si>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</si>
  <si>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</si>
  <si>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</si>
  <si>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</si>
  <si>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</si>
  <si>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</si>
  <si>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</si>
  <si>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</si>
  <si>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</si>
  <si>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</si>
  <si>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</si>
  <si>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</si>
  <si>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</si>
  <si>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</si>
  <si>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</si>
  <si>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</si>
  <si>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</si>
  <si>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</si>
  <si>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</si>
  <si>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</si>
  <si>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</si>
  <si>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</si>
  <si>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</si>
  <si>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</si>
  <si>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</si>
  <si>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</si>
  <si>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</si>
  <si>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</si>
  <si>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</si>
  <si>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</si>
  <si>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</si>
  <si>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</si>
  <si>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</si>
  <si>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</si>
  <si>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</si>
  <si>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</si>
  <si>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</si>
  <si>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</si>
  <si>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</si>
  <si>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</si>
  <si>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</si>
  <si>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</si>
  <si>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</si>
  <si>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</si>
  <si>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</si>
  <si>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</si>
  <si>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</si>
  <si>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</si>
  <si>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</si>
  <si>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</si>
  <si>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</si>
  <si>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</si>
  <si>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</si>
  <si>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</si>
  <si>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</si>
  <si>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</si>
  <si>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</si>
  <si>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</si>
  <si>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</si>
  <si>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</si>
  <si>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</si>
  <si>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</si>
  <si>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</si>
  <si>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</si>
  <si>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</si>
  <si>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</si>
  <si>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</si>
  <si>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</si>
  <si>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</si>
  <si>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</si>
  <si>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</si>
  <si>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</si>
  <si>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</si>
  <si>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</si>
  <si>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</si>
  <si>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</si>
  <si>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</si>
  <si>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</si>
  <si>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</si>
  <si>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</si>
  <si>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</si>
  <si>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</si>
  <si>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</si>
  <si>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</si>
  <si>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</si>
  <si>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</si>
  <si>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</si>
  <si>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</si>
  <si>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</si>
  <si>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</si>
  <si>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</si>
  <si>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</si>
  <si>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</si>
  <si>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</si>
  <si>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</si>
  <si>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</si>
  <si>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</si>
  <si>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</si>
  <si>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</si>
  <si>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</si>
  <si>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</si>
  <si>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</si>
  <si>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</si>
  <si>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</si>
  <si>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</si>
  <si>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</si>
  <si>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</si>
  <si>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</si>
  <si>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</si>
  <si>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</si>
  <si>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</si>
  <si>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</si>
  <si>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</si>
  <si>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</si>
  <si>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</si>
  <si>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</si>
  <si>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</si>
  <si>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</si>
  <si>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</si>
  <si>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</si>
  <si>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</si>
  <si>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</si>
  <si>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</si>
  <si>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</si>
  <si>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</si>
  <si>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</si>
  <si>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</si>
  <si>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</si>
  <si>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</si>
  <si>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</si>
  <si>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</si>
  <si>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</si>
  <si>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</si>
  <si>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</si>
  <si>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</si>
  <si>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</si>
  <si>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</si>
  <si>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</si>
  <si>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</si>
  <si>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</si>
  <si>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</si>
  <si>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</si>
  <si>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</si>
  <si>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</si>
  <si>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</si>
  <si>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</si>
  <si>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</si>
  <si>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</si>
  <si>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</si>
  <si>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</si>
  <si>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</si>
  <si>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</si>
  <si>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</si>
  <si>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</si>
  <si>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</si>
  <si>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</si>
  <si>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</si>
  <si>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</si>
  <si>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</si>
  <si>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</si>
  <si>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</si>
  <si>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</si>
  <si>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</si>
  <si>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</si>
  <si>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</si>
  <si>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</si>
  <si>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</si>
  <si>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</si>
  <si>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</si>
  <si>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</si>
  <si>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</si>
  <si>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</si>
  <si>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</si>
  <si>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</si>
  <si>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</si>
  <si>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</si>
  <si>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</si>
  <si>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</si>
  <si>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</si>
  <si>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</si>
  <si>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</si>
  <si>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</si>
  <si>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</si>
  <si>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</si>
  <si>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</si>
  <si>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</si>
  <si>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</si>
  <si>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</si>
  <si>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</si>
  <si>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</si>
  <si>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</si>
  <si>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</si>
  <si>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</si>
  <si>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</si>
  <si>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</si>
  <si>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</si>
  <si>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</si>
  <si>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</si>
  <si>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</si>
  <si>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</si>
  <si>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</si>
  <si>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</si>
  <si>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</si>
  <si>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</si>
  <si>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</si>
  <si>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</si>
  <si>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</si>
  <si>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</si>
  <si>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</si>
  <si>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</si>
  <si>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</si>
  <si>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</si>
  <si>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</si>
  <si>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</si>
  <si>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</si>
  <si>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</si>
  <si>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</si>
  <si>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</si>
  <si>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</si>
  <si>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</si>
  <si>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</si>
  <si>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</si>
  <si>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</si>
  <si>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</si>
  <si>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</si>
  <si>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</si>
  <si>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</si>
  <si>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</si>
  <si>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</si>
  <si>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</si>
  <si>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</si>
  <si>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</si>
  <si>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</si>
  <si>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</si>
  <si>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</si>
  <si>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</si>
  <si>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</si>
  <si>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</si>
  <si>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</si>
  <si>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</si>
  <si>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</si>
  <si>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</si>
  <si>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</si>
  <si>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</si>
  <si>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</si>
  <si>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</si>
  <si>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</si>
  <si>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</si>
  <si>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</si>
  <si>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</si>
  <si>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</si>
  <si>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</si>
  <si>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</si>
  <si>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</si>
  <si>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</si>
  <si>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</si>
  <si>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</si>
  <si>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</si>
  <si>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</si>
  <si>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</si>
  <si>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</si>
  <si>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</si>
  <si>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</si>
  <si>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</si>
  <si>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</si>
  <si>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</si>
  <si>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</si>
  <si>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</si>
  <si>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</si>
  <si>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</si>
  <si>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</si>
  <si>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</si>
  <si>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</si>
  <si>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</si>
  <si>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</si>
  <si>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</si>
  <si>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</si>
  <si>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</si>
  <si>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</si>
  <si>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</si>
  <si>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</si>
  <si>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</si>
  <si>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</si>
  <si>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</si>
  <si>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</si>
  <si>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</si>
  <si>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</si>
  <si>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</si>
  <si>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</si>
  <si>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</si>
  <si>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</si>
  <si>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</si>
  <si>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</si>
  <si>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</si>
  <si>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</si>
  <si>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</si>
  <si>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</si>
  <si>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</si>
  <si>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</si>
  <si>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</si>
  <si>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</si>
  <si>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</si>
  <si>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</si>
  <si>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</si>
  <si>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</si>
  <si>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</si>
  <si>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</si>
  <si>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</si>
  <si>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</si>
  <si>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</si>
  <si>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</si>
  <si>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</si>
  <si>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</si>
  <si>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</si>
  <si>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</si>
  <si>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</si>
  <si>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</si>
  <si>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</si>
  <si>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</si>
  <si>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</si>
  <si>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</si>
  <si>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</si>
  <si>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</si>
  <si>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</si>
  <si>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</si>
  <si>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</si>
  <si>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</si>
  <si>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</si>
  <si>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</si>
  <si>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</si>
  <si>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</si>
  <si>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</si>
  <si>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</si>
  <si>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</si>
  <si>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</si>
  <si>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</si>
  <si>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</si>
  <si>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</si>
  <si>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</si>
  <si>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</si>
  <si>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</si>
  <si>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</si>
  <si>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</si>
  <si>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</si>
  <si>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</si>
  <si>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</si>
  <si>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</si>
  <si>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</si>
  <si>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</si>
  <si>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</si>
  <si>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</si>
  <si>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</si>
  <si>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</si>
  <si>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</si>
  <si>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</si>
  <si>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</si>
  <si>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</si>
  <si>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</si>
  <si>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</si>
  <si>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</si>
  <si>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</si>
  <si>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</si>
  <si>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</si>
  <si>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</si>
  <si>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</si>
  <si>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</si>
  <si>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</si>
  <si>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</si>
  <si>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</si>
  <si>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</si>
  <si>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</si>
  <si>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</si>
  <si>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</si>
  <si>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</si>
  <si>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</si>
  <si>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</si>
  <si>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</si>
  <si>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</si>
  <si>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</si>
  <si>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</si>
  <si>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</si>
  <si>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</si>
  <si>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</si>
  <si>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</si>
  <si>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</si>
  <si>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</si>
  <si>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</si>
  <si>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</si>
  <si>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</si>
  <si>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</si>
  <si>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</si>
  <si>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</si>
  <si>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</si>
  <si>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</si>
  <si>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</si>
  <si>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</si>
  <si>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</si>
  <si>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</si>
  <si>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</si>
  <si>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</si>
  <si>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</si>
  <si>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</si>
  <si>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</si>
  <si>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</si>
  <si>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</si>
  <si>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</si>
  <si>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</si>
  <si>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</si>
  <si>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</si>
  <si>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</si>
  <si>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</si>
  <si>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</si>
  <si>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</si>
  <si>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</si>
  <si>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</si>
  <si>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</si>
  <si>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</si>
  <si>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</si>
  <si>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</si>
  <si>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</si>
  <si>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</si>
  <si>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</si>
  <si>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</si>
  <si>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</si>
  <si>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</si>
  <si>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</si>
  <si>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</si>
  <si>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</si>
  <si>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</si>
  <si>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</si>
  <si>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</si>
  <si>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</si>
  <si>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</si>
  <si>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</si>
  <si>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</si>
  <si>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</si>
  <si>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</si>
  <si>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</si>
  <si>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</si>
  <si>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</si>
  <si>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</si>
  <si>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</si>
  <si>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</si>
  <si>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</si>
  <si>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</si>
  <si>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</si>
  <si>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</si>
  <si>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</si>
  <si>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</si>
  <si>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</si>
  <si>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</si>
  <si>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</si>
  <si>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</si>
  <si>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</si>
  <si>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</si>
  <si>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</si>
  <si>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</si>
  <si>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</si>
  <si>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</si>
  <si>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</si>
  <si>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</si>
  <si>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</si>
  <si>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</si>
  <si>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</si>
  <si>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</si>
  <si>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</si>
  <si>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</si>
  <si>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</si>
  <si>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</si>
  <si>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</si>
  <si>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</si>
  <si>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</si>
  <si>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</si>
  <si>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</si>
  <si>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</si>
  <si>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</si>
  <si>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</si>
  <si>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</si>
  <si>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</si>
  <si>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</si>
  <si>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</si>
  <si>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</si>
  <si>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</si>
  <si>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</si>
  <si>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</si>
  <si>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</si>
  <si>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</si>
  <si>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</si>
  <si>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</si>
  <si>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</si>
  <si>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</si>
  <si>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</si>
  <si>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</si>
  <si>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</si>
  <si>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</si>
  <si>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</si>
  <si>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</si>
  <si>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</si>
  <si>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</si>
  <si>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</si>
  <si>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</si>
  <si>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</si>
  <si>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</si>
  <si>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</si>
  <si>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</si>
  <si>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</si>
  <si>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</si>
  <si>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</si>
  <si>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</si>
  <si>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</si>
  <si>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</si>
  <si>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</si>
  <si>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</si>
  <si>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</si>
  <si>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</si>
  <si>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</si>
  <si>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</si>
  <si>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</si>
  <si>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</si>
  <si>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</si>
  <si>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</si>
  <si>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</si>
  <si>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</si>
  <si>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</si>
  <si>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</si>
  <si>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</si>
  <si>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</si>
  <si>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</si>
  <si>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</si>
  <si>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</si>
  <si>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</si>
  <si>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</si>
  <si>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</si>
  <si>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</si>
  <si>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</si>
  <si>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</si>
  <si>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</si>
  <si>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</si>
  <si>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</si>
  <si>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</si>
  <si>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</si>
  <si>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</si>
  <si>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</si>
  <si>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</si>
  <si>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</si>
  <si>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</si>
  <si>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</si>
  <si>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</si>
  <si>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</si>
  <si>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</si>
  <si>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</si>
  <si>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</si>
  <si>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</si>
  <si>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</si>
  <si>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</si>
  <si>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</si>
  <si>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</si>
  <si>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</si>
  <si>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</si>
  <si>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</si>
  <si>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</si>
  <si>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</si>
  <si>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</si>
  <si>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</si>
  <si>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</si>
  <si>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</si>
  <si>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</si>
  <si>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</si>
  <si>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</si>
  <si>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</si>
  <si>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</si>
  <si>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</si>
  <si>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</si>
  <si>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</si>
  <si>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</si>
  <si>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</si>
  <si>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</si>
  <si>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</si>
  <si>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</si>
  <si>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</si>
  <si>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</si>
  <si>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</si>
  <si>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</si>
  <si>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</si>
  <si>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</si>
  <si>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</si>
  <si>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</si>
  <si>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</si>
  <si>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</si>
  <si>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</si>
  <si>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</si>
  <si>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</si>
  <si>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</si>
  <si>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</si>
  <si>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</si>
  <si>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</si>
  <si>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</si>
  <si>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</si>
  <si>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</si>
  <si>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</si>
  <si>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</si>
  <si>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</si>
  <si>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</si>
  <si>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</si>
  <si>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</si>
  <si>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</si>
  <si>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</si>
  <si>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</si>
  <si>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</si>
  <si>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</si>
  <si>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</si>
  <si>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</si>
  <si>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</si>
  <si>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</si>
  <si>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</si>
  <si>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</si>
  <si>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</si>
  <si>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</si>
  <si>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</si>
  <si>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</si>
  <si>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</si>
  <si>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</si>
  <si>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</si>
  <si>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</si>
  <si>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</si>
  <si>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</si>
  <si>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</si>
  <si>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</si>
  <si>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</si>
  <si>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</si>
  <si>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</si>
  <si>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</si>
  <si>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</si>
  <si>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</si>
  <si>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</si>
  <si>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</si>
  <si>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</si>
  <si>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</si>
  <si>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</si>
  <si>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</si>
  <si>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</si>
  <si>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</si>
  <si>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</si>
  <si>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</si>
  <si>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</si>
  <si>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</si>
  <si>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</si>
  <si>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</si>
  <si>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</si>
  <si>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</si>
  <si>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</si>
  <si>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</si>
  <si>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</si>
  <si>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</si>
  <si>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</si>
  <si>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</si>
  <si>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</si>
  <si>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</si>
  <si>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</si>
  <si>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</si>
  <si>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</si>
  <si>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</si>
  <si>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</si>
  <si>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</si>
  <si>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</si>
  <si>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</si>
  <si>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</si>
  <si>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</si>
  <si>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</si>
  <si>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</si>
  <si>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</si>
  <si>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</si>
  <si>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</si>
  <si>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</si>
  <si>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</si>
  <si>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</si>
  <si>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</si>
  <si>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</si>
  <si>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</si>
  <si>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</si>
  <si>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</si>
  <si>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</si>
  <si>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</si>
  <si>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</si>
  <si>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</si>
  <si>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</si>
  <si>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</si>
  <si>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</si>
  <si>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</si>
  <si>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</si>
  <si>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</si>
  <si>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</si>
  <si>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</si>
  <si>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</si>
  <si>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</si>
  <si>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</si>
  <si>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</si>
  <si>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</si>
  <si>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</si>
  <si>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</si>
  <si>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</si>
  <si>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</si>
  <si>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</si>
  <si>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</si>
  <si>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</si>
  <si>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</si>
  <si>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</si>
  <si>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</si>
  <si>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</si>
  <si>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</si>
  <si>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</si>
  <si>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</si>
  <si>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</si>
  <si>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</si>
  <si>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</si>
  <si>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</si>
  <si>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</si>
  <si>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</si>
  <si>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</si>
  <si>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</si>
  <si>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</si>
  <si>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</si>
  <si>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</si>
  <si>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</si>
  <si>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</si>
  <si>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</si>
  <si>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</si>
  <si>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</si>
  <si>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</si>
  <si>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</si>
  <si>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</si>
  <si>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</si>
  <si>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</si>
  <si>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</si>
  <si>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</si>
  <si>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</si>
  <si>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</si>
  <si>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</si>
  <si>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</si>
  <si>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</si>
  <si>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</si>
  <si>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</si>
  <si>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</si>
  <si>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</si>
  <si>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</si>
  <si>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</si>
  <si>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</si>
  <si>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</si>
  <si>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</si>
  <si>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</si>
  <si>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</si>
  <si>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</si>
  <si>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</si>
  <si>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</si>
  <si>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</si>
  <si>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</si>
  <si>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</si>
  <si>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</si>
  <si>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</si>
  <si>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</si>
  <si>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</si>
  <si>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</si>
  <si>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</si>
  <si>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</si>
  <si>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</si>
  <si>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</si>
  <si>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</si>
  <si>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</si>
  <si>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</si>
  <si>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</si>
  <si>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</si>
  <si>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</si>
  <si>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</si>
  <si>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</si>
  <si>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</si>
  <si>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</si>
  <si>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</si>
  <si>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</si>
  <si>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</si>
  <si>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</si>
  <si>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</si>
  <si>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</si>
  <si>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</si>
  <si>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</si>
  <si>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</si>
  <si>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</si>
  <si>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</si>
  <si>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</si>
  <si>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</si>
  <si>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</si>
  <si>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</si>
  <si>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</si>
  <si>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</si>
  <si>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</si>
  <si>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</si>
  <si>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</si>
  <si>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</si>
  <si>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</si>
  <si>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</si>
  <si>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</si>
  <si>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</si>
  <si>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</si>
  <si>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</si>
  <si>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</si>
  <si>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</si>
  <si>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</si>
  <si>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</si>
  <si>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</si>
  <si>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</si>
  <si>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</si>
  <si>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</si>
  <si>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</si>
  <si>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</si>
  <si>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</si>
  <si>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</si>
  <si>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</si>
  <si>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</si>
  <si>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</si>
  <si>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</si>
  <si>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</si>
  <si>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</si>
  <si>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</si>
  <si>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</si>
  <si>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</si>
  <si>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</si>
  <si>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</si>
  <si>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</si>
  <si>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</si>
  <si>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</si>
  <si>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</si>
  <si>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</si>
  <si>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</si>
  <si>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</si>
  <si>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</si>
  <si>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</si>
  <si>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</si>
  <si>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</si>
  <si>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</si>
  <si>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</si>
  <si>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</si>
  <si>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</si>
  <si>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</si>
  <si>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</si>
  <si>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</si>
  <si>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</si>
  <si>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</si>
  <si>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</si>
  <si>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</si>
  <si>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</si>
  <si>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</si>
  <si>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</si>
  <si>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</si>
  <si>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</si>
  <si>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</si>
  <si>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</si>
  <si>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</si>
  <si>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</si>
  <si>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</si>
  <si>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</si>
  <si>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</si>
  <si>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</si>
  <si>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</si>
  <si>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</si>
  <si>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INSTITUT ZA RAZVOJ I INOVATIVNOST MLADIH-IRIM</t>
  </si>
  <si>
    <t>ZAGREB</t>
  </si>
  <si>
    <t>STROJARSKA CESTA 20</t>
  </si>
  <si>
    <t>04293967</t>
  </si>
  <si>
    <t>HR5124020061100717959</t>
  </si>
  <si>
    <t>NENAD BAKIĆ</t>
  </si>
  <si>
    <t>ŽELJKA OBAD</t>
  </si>
  <si>
    <t>015522832</t>
  </si>
  <si>
    <t>zeljka@fiducia@hr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</si>
</sst>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0" applyNumberFormat="1" applyFont="1" applyFill="1" applyBorder="1" applyAlignment="1" applyProtection="1">
      <alignment horizontal="left" vertical="center" shrinkToFit="1"/>
      <protection/>
    </xf>
    <xf numFmtId="0" fontId="33" fillId="0" borderId="108"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7" xfId="97" applyNumberFormat="1" applyFont="1" applyFill="1" applyBorder="1" applyAlignment="1" applyProtection="1">
      <alignment horizontal="left" vertical="center" wrapText="1"/>
      <protection hidden="1"/>
    </xf>
    <xf numFmtId="0" fontId="69" fillId="0" borderId="10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7" xfId="97" applyNumberFormat="1" applyFont="1" applyFill="1" applyBorder="1" applyAlignment="1" applyProtection="1">
      <alignment horizontal="left" vertical="center" wrapText="1"/>
      <protection hidden="1"/>
    </xf>
    <xf numFmtId="0" fontId="4" fillId="0" borderId="108"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07" xfId="97" applyNumberFormat="1" applyFont="1" applyFill="1" applyBorder="1" applyAlignment="1" applyProtection="1">
      <alignment horizontal="left" vertical="center" shrinkToFit="1"/>
      <protection hidden="1"/>
    </xf>
    <xf numFmtId="0" fontId="0" fillId="0" borderId="108"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8"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8" xfId="0" applyNumberFormat="1" applyFont="1" applyBorder="1" applyAlignment="1" applyProtection="1">
      <alignment horizontal="left" vertical="center" wrapText="1"/>
      <protection/>
    </xf>
    <xf numFmtId="0" fontId="33" fillId="0" borderId="108"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3"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822</v>
      </c>
      <c r="C3" s="406"/>
      <c r="D3" s="132"/>
      <c r="E3" s="132"/>
      <c r="F3" s="108"/>
      <c r="G3" s="108"/>
      <c r="H3" s="108"/>
      <c r="I3" s="108"/>
      <c r="J3" s="108"/>
      <c r="K3" s="407" t="s">
        <v>3047</v>
      </c>
      <c r="L3" s="408"/>
    </row>
    <row r="4" spans="2:12" s="27" customFormat="1" ht="30" customHeight="1">
      <c r="B4" s="400"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769</v>
      </c>
    </row>
    <row r="7" spans="2:16" s="118" customFormat="1" ht="18" customHeight="1" thickBot="1">
      <c r="B7" s="409" t="s">
        <v>11</v>
      </c>
      <c r="C7" s="410"/>
      <c r="D7" s="411">
        <f>IF(RefStr!P4=1,IF(RefStr!C7&lt;&gt;"",RefStr!C7,""),"")</f>
      </c>
      <c r="E7" s="412"/>
      <c r="F7" s="412"/>
      <c r="G7" s="412"/>
      <c r="H7" s="412"/>
      <c r="I7" s="412"/>
      <c r="J7" s="412"/>
      <c r="K7" s="412"/>
      <c r="L7" s="412"/>
      <c r="P7" s="27" t="s">
        <v>1611</v>
      </c>
    </row>
    <row r="8" spans="2:12" s="118" customFormat="1" ht="18" customHeight="1" thickBot="1">
      <c r="B8" s="409" t="s">
        <v>2026</v>
      </c>
      <c r="C8" s="409"/>
      <c r="D8" s="231">
        <f>IF(RefStr!P4=1,IF(RefStr!C9&lt;&gt;"",RefStr!C9,""),"")</f>
      </c>
      <c r="E8" s="121"/>
      <c r="F8" s="128" t="s">
        <v>2029</v>
      </c>
      <c r="G8" s="413">
        <f>IF(RefStr!P4=1,IF(RefStr!E9&lt;&gt;"",RefStr!E9,""),"")</f>
      </c>
      <c r="H8" s="414"/>
      <c r="I8" s="414"/>
      <c r="J8" s="414"/>
      <c r="K8" s="414"/>
      <c r="L8" s="414"/>
    </row>
    <row r="9" spans="2:12" s="118" customFormat="1" ht="18" customHeight="1" thickBot="1">
      <c r="B9" s="409" t="s">
        <v>12</v>
      </c>
      <c r="C9" s="409"/>
      <c r="D9" s="413">
        <f>IF(RefStr!P4=1,IF(RefStr!C11&lt;&gt;"",RefStr!C11,""),"")</f>
      </c>
      <c r="E9" s="413"/>
      <c r="F9" s="413"/>
      <c r="G9" s="413"/>
      <c r="H9" s="413"/>
      <c r="I9" s="413"/>
      <c r="J9" s="413"/>
      <c r="K9" s="413"/>
      <c r="L9" s="413"/>
    </row>
    <row r="10" spans="2:12" s="118" customFormat="1" ht="18" customHeight="1" thickBot="1">
      <c r="B10" s="409" t="s">
        <v>2727</v>
      </c>
      <c r="C10" s="409" t="s">
        <v>2856</v>
      </c>
      <c r="D10" s="418">
        <f>IF(RefStr!P4=1,IF(RefStr!C13&lt;&gt;"",RefStr!C13,""),"")</f>
      </c>
      <c r="E10" s="419"/>
      <c r="F10" s="419"/>
      <c r="G10" s="122"/>
      <c r="H10" s="122"/>
      <c r="I10" s="136"/>
      <c r="J10" s="128" t="s">
        <v>791</v>
      </c>
      <c r="K10" s="227">
        <f>IF(RefStr!P4=1,IF(RefStr!J9&lt;&gt;"",RefStr!J9,""),"")</f>
      </c>
      <c r="L10" s="136"/>
    </row>
    <row r="11" spans="2:12" s="118" customFormat="1" ht="18" customHeight="1" thickBot="1">
      <c r="B11" s="423" t="s">
        <v>14</v>
      </c>
      <c r="C11" s="424"/>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09" t="s">
        <v>2858</v>
      </c>
      <c r="C12" s="424"/>
      <c r="D12" s="124">
        <f>IF(RefStr!P4=1,IF(RefStr!C17&lt;&gt;"",RefStr!C17,""),"")</f>
      </c>
      <c r="E12" s="233" t="str">
        <f>IF(RefStr!D17&lt;&gt;"",RefStr!D17,"")</f>
        <v>Grad/općina: GRAD ZAGREB</v>
      </c>
      <c r="F12" s="125"/>
      <c r="G12" s="122"/>
      <c r="H12" s="122"/>
      <c r="I12" s="126"/>
      <c r="J12" s="208" t="s">
        <v>792</v>
      </c>
      <c r="K12" s="425">
        <f>IF(RefStr!P4=1,IF(RefStr!J13&lt;&gt;"",RefStr!J13,""),"")</f>
      </c>
      <c r="L12" s="426"/>
    </row>
    <row r="13" spans="2:12" s="118" customFormat="1" ht="18" customHeight="1" thickBot="1">
      <c r="B13" s="136"/>
      <c r="C13" s="127"/>
      <c r="D13" s="262"/>
      <c r="E13" s="263"/>
      <c r="F13" s="263"/>
      <c r="G13" s="263"/>
      <c r="H13" s="263"/>
      <c r="I13" s="423" t="s">
        <v>2857</v>
      </c>
      <c r="J13" s="424"/>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3050</v>
      </c>
      <c r="C18" s="438" t="s">
        <v>2526</v>
      </c>
      <c r="D18" s="438"/>
      <c r="E18" s="438"/>
      <c r="F18" s="438"/>
      <c r="G18" s="438"/>
      <c r="H18" s="438"/>
      <c r="I18" s="438"/>
      <c r="J18" s="438"/>
      <c r="K18" s="438"/>
      <c r="L18" s="439"/>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1556</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89">
        <f>IF(RefStr!P4=1,IF(RefStr!D39&lt;&gt;"",RefStr!D39,""),"")</f>
      </c>
      <c r="E64" s="389"/>
      <c r="F64" s="389"/>
      <c r="G64" s="389"/>
      <c r="H64" s="389"/>
      <c r="I64" s="173"/>
      <c r="J64" s="174"/>
      <c r="K64" s="174"/>
      <c r="L64" s="174"/>
    </row>
    <row r="65" spans="2:12" s="118" customFormat="1" ht="15" thickBot="1">
      <c r="B65" s="390" t="s">
        <v>2870</v>
      </c>
      <c r="C65" s="390"/>
      <c r="D65" s="223">
        <f>IF(RefStr!P4=1,IF(RefStr!D41&lt;&gt;"",RefStr!D41,""),"")</f>
      </c>
      <c r="E65" s="176"/>
      <c r="F65" s="176"/>
      <c r="G65" s="176"/>
      <c r="H65" s="177"/>
      <c r="I65" s="178"/>
      <c r="J65" s="178"/>
      <c r="K65" s="179"/>
      <c r="L65" s="178"/>
    </row>
    <row r="66" spans="2:12" s="118" customFormat="1" ht="15" thickBot="1">
      <c r="B66" s="448" t="s">
        <v>1649</v>
      </c>
      <c r="C66" s="448"/>
      <c r="D66" s="389">
        <f>IF(RefStr!P4=1,IF(RefStr!D43&lt;&gt;"",RefStr!D43,""),"")</f>
      </c>
      <c r="E66" s="389"/>
      <c r="F66" s="389"/>
      <c r="G66" s="389"/>
      <c r="H66" s="171"/>
      <c r="I66" s="171"/>
      <c r="J66" s="171"/>
      <c r="K66" s="171"/>
      <c r="L66" s="171"/>
    </row>
    <row r="67" spans="2:12" s="118" customFormat="1" ht="15" thickBot="1">
      <c r="B67" s="390" t="s">
        <v>1650</v>
      </c>
      <c r="C67" s="390"/>
      <c r="D67" s="387">
        <f>IF(RefStr!P4=1,IF(RefStr!D45&lt;&gt;"",RefStr!D45,""),"")</f>
      </c>
      <c r="E67" s="387"/>
      <c r="F67" s="171"/>
      <c r="G67" s="180"/>
      <c r="H67" s="180"/>
      <c r="I67" s="180"/>
      <c r="J67" s="180"/>
      <c r="K67" s="180"/>
      <c r="L67" s="180"/>
    </row>
    <row r="68" spans="2:12" s="118" customFormat="1" ht="15" thickBot="1">
      <c r="B68" s="390" t="s">
        <v>41</v>
      </c>
      <c r="C68" s="390"/>
      <c r="D68" s="388">
        <f>IF(RefStr!P4=1,IF(RefStr!D47&lt;&gt;"",RefStr!D47,""),"")</f>
      </c>
      <c r="E68" s="388"/>
      <c r="F68" s="181"/>
      <c r="G68" s="181"/>
      <c r="H68" s="181"/>
      <c r="I68" s="181"/>
      <c r="J68" s="181"/>
      <c r="K68" s="180"/>
      <c r="L68" s="180"/>
    </row>
    <row r="69" spans="2:12" s="118" customFormat="1" ht="15" thickBot="1">
      <c r="B69" s="390" t="s">
        <v>1651</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0"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610</v>
      </c>
      <c r="B1" s="536"/>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7" t="s">
        <v>2031</v>
      </c>
      <c r="D2" s="538"/>
      <c r="E2" s="538"/>
      <c r="F2" s="538"/>
      <c r="G2" s="538"/>
      <c r="H2" s="538"/>
      <c r="I2" s="538"/>
      <c r="J2" s="539"/>
      <c r="L2">
        <f>SUM(L4:L112)</f>
        <v>0</v>
      </c>
      <c r="M2">
        <f>SUM(M4:M112)</f>
        <v>1</v>
      </c>
    </row>
    <row r="3" spans="1:10" ht="19.5" customHeight="1">
      <c r="A3" s="525" t="s">
        <v>341</v>
      </c>
      <c r="B3" s="526"/>
      <c r="C3" s="526"/>
      <c r="D3" s="526"/>
      <c r="E3" s="526"/>
      <c r="F3" s="526"/>
      <c r="G3" s="526"/>
      <c r="H3" s="526"/>
      <c r="I3" s="526"/>
      <c r="J3" s="527"/>
    </row>
    <row r="4" spans="1:13" ht="50.25" customHeight="1">
      <c r="A4" s="236">
        <v>1</v>
      </c>
      <c r="B4" s="219" t="str">
        <f>IF(L4=1,"Pogreška",IF(M4=1,"Upozorenje","Ispravna"))</f>
        <v>Ispravna</v>
      </c>
      <c r="C4" s="528" t="s">
        <v>23</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127</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128</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787</v>
      </c>
      <c r="D7" s="532"/>
      <c r="E7" s="532"/>
      <c r="F7" s="532"/>
      <c r="G7" s="532"/>
      <c r="H7" s="532"/>
      <c r="I7" s="532"/>
      <c r="J7" s="533"/>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8" t="s">
        <v>40</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0" t="s">
        <v>1147</v>
      </c>
      <c r="D9" s="529"/>
      <c r="E9" s="529"/>
      <c r="F9" s="529"/>
      <c r="G9" s="529"/>
      <c r="H9" s="529"/>
      <c r="I9" s="529"/>
      <c r="J9" s="529"/>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0" t="s">
        <v>1759</v>
      </c>
      <c r="D10" s="543"/>
      <c r="E10" s="543"/>
      <c r="F10" s="543"/>
      <c r="G10" s="543"/>
      <c r="H10" s="543"/>
      <c r="I10" s="543"/>
      <c r="J10" s="543"/>
      <c r="L10">
        <f>MAX(N10:O10)</f>
        <v>0</v>
      </c>
      <c r="M10">
        <v>0</v>
      </c>
      <c r="N10">
        <f>IF(ISERROR(R10),0,1)</f>
        <v>0</v>
      </c>
      <c r="O10" s="245">
        <f>IF(ISERROR(Q10),0,1)</f>
        <v>0</v>
      </c>
      <c r="P10" s="246" t="str">
        <f ca="1">CELL("filename")</f>
        <v>C:\Users\Lorena Miličević\Downloads\[IRIM-GFI-2019.xls]BIL</v>
      </c>
      <c r="Q10" s="246" t="e">
        <f>FIND(".XLSX",UPPER(P10),1)</f>
        <v>#VALUE!</v>
      </c>
      <c r="R10" s="1" t="e">
        <f>FIND(".XLSM",UPPER(P10),1)</f>
        <v>#VALUE!</v>
      </c>
    </row>
    <row r="11" spans="1:13" ht="75" customHeight="1">
      <c r="A11" s="237">
        <f t="shared" si="0"/>
        <v>8</v>
      </c>
      <c r="B11" s="219" t="str">
        <f>IF(L11=1,"Pogreška",IF(M11=1,"Upozorenje","Ispravna"))</f>
        <v>Ispravna</v>
      </c>
      <c r="C11" s="528" t="s">
        <v>1768</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24</v>
      </c>
      <c r="D12" s="529"/>
      <c r="E12" s="529"/>
      <c r="F12" s="529"/>
      <c r="G12" s="529"/>
      <c r="H12" s="529"/>
      <c r="I12" s="529"/>
      <c r="J12" s="529"/>
      <c r="L12">
        <f>IF(ISERROR(RefStr!I21),1,0)</f>
        <v>0</v>
      </c>
      <c r="M12">
        <f>IF(RefStr!I21=0,1,0)</f>
        <v>0</v>
      </c>
    </row>
    <row r="13" spans="1:10" ht="19.5" customHeight="1">
      <c r="A13" s="540" t="s">
        <v>342</v>
      </c>
      <c r="B13" s="541"/>
      <c r="C13" s="541"/>
      <c r="D13" s="541"/>
      <c r="E13" s="541"/>
      <c r="F13" s="541"/>
      <c r="G13" s="541"/>
      <c r="H13" s="541"/>
      <c r="I13" s="541"/>
      <c r="J13" s="542"/>
    </row>
    <row r="14" spans="1:13" ht="30" customHeight="1">
      <c r="A14" s="236">
        <f>INT(A12)+1</f>
        <v>10</v>
      </c>
      <c r="B14" s="219" t="str">
        <f t="shared" si="1"/>
        <v>Ispravna</v>
      </c>
      <c r="C14" s="528" t="s">
        <v>1474</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31" t="s">
        <v>1103</v>
      </c>
      <c r="D15" s="532"/>
      <c r="E15" s="532"/>
      <c r="F15" s="532"/>
      <c r="G15" s="532"/>
      <c r="H15" s="532"/>
      <c r="I15" s="532"/>
      <c r="J15" s="533"/>
      <c r="K15" s="10"/>
      <c r="L15" s="238">
        <f>IF(MIN(PRRAS!J19:K69,PRRAS!J73:K174,PRRAS!J176:K183,PRRAS!J186:K191,PRRAS!J193:K194)&lt;0,1,0)</f>
        <v>0</v>
      </c>
      <c r="M15">
        <v>0</v>
      </c>
    </row>
    <row r="16" spans="1:17" ht="49.5" customHeight="1">
      <c r="A16" s="237">
        <f t="shared" si="2"/>
        <v>12</v>
      </c>
      <c r="B16" s="219" t="str">
        <f t="shared" si="1"/>
        <v>Ispravna</v>
      </c>
      <c r="C16" s="534" t="s">
        <v>1475</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1427</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1476</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1477</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1478</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1479</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Upozorenje</v>
      </c>
      <c r="C22" s="528" t="s">
        <v>1480</v>
      </c>
      <c r="D22" s="529"/>
      <c r="E22" s="529"/>
      <c r="F22" s="529"/>
      <c r="G22" s="529"/>
      <c r="H22" s="529"/>
      <c r="I22" s="529"/>
      <c r="J22" s="529"/>
      <c r="K22" s="10"/>
      <c r="L22">
        <v>0</v>
      </c>
      <c r="M22" s="238">
        <f>IF(OR(N22&lt;&gt;P22,O22&lt;&gt;Q22),1,0)</f>
        <v>1</v>
      </c>
      <c r="N22" s="1">
        <f>IF(AND(PRRAS!K181=0,PRRAS!K180=0),0,1)</f>
        <v>0</v>
      </c>
      <c r="O22" s="1">
        <f>IF(AND(PRRAS!J181=0,PRRAS!J180=0),0,1)</f>
        <v>0</v>
      </c>
      <c r="P22" s="1">
        <f>IF(PRRAS!K74=0,0,1)</f>
        <v>1</v>
      </c>
      <c r="Q22" s="1">
        <f>IF(PRRAS!J74=0,0,1)</f>
        <v>1</v>
      </c>
    </row>
    <row r="23" spans="1:10" ht="19.5" customHeight="1">
      <c r="A23" s="540" t="s">
        <v>344</v>
      </c>
      <c r="B23" s="541"/>
      <c r="C23" s="541"/>
      <c r="D23" s="541"/>
      <c r="E23" s="541"/>
      <c r="F23" s="541"/>
      <c r="G23" s="541"/>
      <c r="H23" s="541"/>
      <c r="I23" s="541"/>
      <c r="J23" s="542"/>
    </row>
    <row r="24" spans="1:15" ht="31.5" customHeight="1">
      <c r="A24" s="236">
        <f>INT(A22)+1</f>
        <v>19</v>
      </c>
      <c r="B24" s="219" t="str">
        <f>IF(L24=1,"Pogreška",IF(M24=1,"Upozorenje","Ispravna"))</f>
        <v>Ispravna</v>
      </c>
      <c r="C24" s="531" t="s">
        <v>666</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2579</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1427</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2580</v>
      </c>
      <c r="D27" s="532"/>
      <c r="E27" s="532"/>
      <c r="F27" s="532"/>
      <c r="G27" s="532"/>
      <c r="H27" s="532"/>
      <c r="I27" s="532"/>
      <c r="J27" s="533"/>
      <c r="K27" s="10"/>
      <c r="L27" s="238">
        <f>IF(MIN(BIL!J19:K162,BIL!J164:K213,BIL!J215:K219,BIL!J221:K222)&lt;0,1,0)</f>
        <v>0</v>
      </c>
      <c r="M27">
        <v>0</v>
      </c>
    </row>
    <row r="28" spans="1:10" ht="19.5" customHeight="1">
      <c r="A28" s="544" t="s">
        <v>884</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8" t="s">
        <v>362</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2143</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1769</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4" t="s">
        <v>1771</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391</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1770</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3705786</v>
      </c>
      <c r="C2" s="5">
        <f>PRRAS!K19</f>
        <v>2484486</v>
      </c>
      <c r="D2" s="8">
        <v>0</v>
      </c>
      <c r="E2" s="8">
        <v>0</v>
      </c>
      <c r="F2" s="7">
        <f>A2/100*B2+A2/50*C2</f>
        <v>86747.58</v>
      </c>
      <c r="G2" s="9" t="str">
        <f>TRIM(UPPER(RefStr!C13))</f>
        <v>HR5124020061100717959</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04293967</v>
      </c>
      <c r="I3" s="9" t="s">
        <v>3064</v>
      </c>
      <c r="J3" s="8">
        <f t="shared" si="0"/>
        <v>0</v>
      </c>
    </row>
    <row r="4" spans="1:10" ht="12.75">
      <c r="A4" s="5">
        <f>PRRAS!I21</f>
        <v>3</v>
      </c>
      <c r="B4" s="5">
        <f>PRRAS!J21</f>
        <v>0</v>
      </c>
      <c r="C4" s="5">
        <f>PRRAS!K21</f>
        <v>0</v>
      </c>
      <c r="D4" s="8">
        <v>0</v>
      </c>
      <c r="E4" s="8">
        <v>0</v>
      </c>
      <c r="F4" s="7">
        <f>A4/100*B4+A4/50*C4</f>
        <v>0</v>
      </c>
      <c r="G4" s="6" t="str">
        <f>IF(ISERROR(RefStr!C7),"-",UPPER(TRIM(RefStr!C7)))</f>
        <v>INSTITUT ZA RAZVOJ I INOVATIVNOST MLADIH-IRIM</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3066</v>
      </c>
      <c r="J5" s="8">
        <f t="shared" si="0"/>
        <v>0</v>
      </c>
    </row>
    <row r="6" spans="1:10" ht="12.75">
      <c r="A6" s="5">
        <f>PRRAS!I23</f>
        <v>5</v>
      </c>
      <c r="B6" s="5">
        <f>PRRAS!J23</f>
        <v>0</v>
      </c>
      <c r="C6" s="5">
        <f>PRRAS!K23</f>
        <v>15015</v>
      </c>
      <c r="D6" s="8">
        <v>0</v>
      </c>
      <c r="E6" s="8">
        <v>0</v>
      </c>
      <c r="F6" s="7">
        <f t="shared" si="1"/>
        <v>1501.5</v>
      </c>
      <c r="G6" s="6" t="str">
        <f>IF(ISERROR(RefStr!E9),"-",UPPER(TRIM(RefStr!E9)))</f>
        <v>ZAGREB</v>
      </c>
      <c r="I6" s="9" t="s">
        <v>3067</v>
      </c>
      <c r="J6" s="8">
        <f t="shared" si="0"/>
        <v>0</v>
      </c>
    </row>
    <row r="7" spans="1:10" ht="12.75">
      <c r="A7" s="5">
        <f>PRRAS!I24</f>
        <v>6</v>
      </c>
      <c r="B7" s="5">
        <f>PRRAS!J24</f>
        <v>0</v>
      </c>
      <c r="C7" s="5">
        <f>PRRAS!K24</f>
        <v>15015</v>
      </c>
      <c r="D7" s="8">
        <v>0</v>
      </c>
      <c r="E7" s="8">
        <v>0</v>
      </c>
      <c r="F7" s="7">
        <f t="shared" si="1"/>
        <v>1801.8</v>
      </c>
      <c r="G7" s="6" t="str">
        <f>IF(ISERROR(RefStr!C11),"-",(TRIM(RefStr!C11)))</f>
        <v>STROJARSKA CESTA 20</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6247</v>
      </c>
      <c r="D9" s="8">
        <v>0</v>
      </c>
      <c r="E9" s="8">
        <v>0</v>
      </c>
      <c r="F9" s="7">
        <f t="shared" si="1"/>
        <v>999.52</v>
      </c>
      <c r="G9" s="6" t="str">
        <f>IF(RefStr!J17&lt;&gt;"",TEXT(INT(VALUE(RefStr!J17)),"00"),"00")</f>
        <v>21</v>
      </c>
      <c r="I9" s="9" t="s">
        <v>3070</v>
      </c>
      <c r="J9" s="8">
        <f t="shared" si="0"/>
        <v>0</v>
      </c>
    </row>
    <row r="10" spans="1:10" ht="12.75">
      <c r="A10" s="5">
        <f>PRRAS!I27</f>
        <v>9</v>
      </c>
      <c r="B10" s="5">
        <f>PRRAS!J27</f>
        <v>0</v>
      </c>
      <c r="C10" s="5">
        <f>PRRAS!K27</f>
        <v>0</v>
      </c>
      <c r="D10" s="8">
        <v>0</v>
      </c>
      <c r="E10" s="8">
        <v>0</v>
      </c>
      <c r="F10" s="7">
        <f t="shared" si="1"/>
        <v>0</v>
      </c>
      <c r="G10" s="6" t="str">
        <f>TEXT(INT(VALUE(RefStr!C17)),"000")</f>
        <v>133</v>
      </c>
      <c r="I10" s="9" t="s">
        <v>3071</v>
      </c>
      <c r="J10" s="8">
        <f t="shared" si="0"/>
        <v>0</v>
      </c>
    </row>
    <row r="11" spans="1:10" ht="12.75">
      <c r="A11" s="5">
        <f>PRRAS!I28</f>
        <v>10</v>
      </c>
      <c r="B11" s="5">
        <f>PRRAS!J28</f>
        <v>0</v>
      </c>
      <c r="C11" s="5">
        <f>PRRAS!K28</f>
        <v>6247</v>
      </c>
      <c r="D11" s="8">
        <v>0</v>
      </c>
      <c r="E11" s="8">
        <v>0</v>
      </c>
      <c r="F11" s="7">
        <f t="shared" si="1"/>
        <v>1249.4</v>
      </c>
      <c r="G11" s="6" t="s">
        <v>155</v>
      </c>
      <c r="I11" s="11" t="s">
        <v>2664</v>
      </c>
      <c r="J11" s="8">
        <f t="shared" si="0"/>
        <v>0</v>
      </c>
    </row>
    <row r="12" spans="1:10" ht="12.75">
      <c r="A12" s="5">
        <f>PRRAS!I29</f>
        <v>11</v>
      </c>
      <c r="B12" s="5">
        <f>PRRAS!J29</f>
        <v>1708</v>
      </c>
      <c r="C12" s="5">
        <f>PRRAS!K29</f>
        <v>3927</v>
      </c>
      <c r="D12" s="8">
        <v>0</v>
      </c>
      <c r="E12" s="8">
        <v>0</v>
      </c>
      <c r="F12" s="7">
        <f t="shared" si="1"/>
        <v>1051.8200000000002</v>
      </c>
      <c r="G12" s="6" t="s">
        <v>155</v>
      </c>
      <c r="I12" s="11" t="s">
        <v>2665</v>
      </c>
      <c r="J12" s="8">
        <f t="shared" si="0"/>
        <v>0</v>
      </c>
    </row>
    <row r="13" spans="1:10" ht="12.75">
      <c r="A13" s="5">
        <f>PRRAS!I30</f>
        <v>12</v>
      </c>
      <c r="B13" s="5">
        <f>PRRAS!J30</f>
        <v>1708</v>
      </c>
      <c r="C13" s="5">
        <f>PRRAS!K30</f>
        <v>3927</v>
      </c>
      <c r="D13" s="8">
        <v>0</v>
      </c>
      <c r="E13" s="8">
        <v>0</v>
      </c>
      <c r="F13" s="7">
        <f t="shared" si="1"/>
        <v>1147.44</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2</v>
      </c>
      <c r="C16" s="5">
        <f>PRRAS!K33</f>
        <v>6</v>
      </c>
      <c r="D16" s="8">
        <v>0</v>
      </c>
      <c r="E16" s="8">
        <v>0</v>
      </c>
      <c r="F16" s="7">
        <f t="shared" si="1"/>
        <v>2.0999999999999996</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1706</v>
      </c>
      <c r="C18" s="5">
        <f>PRRAS!K35</f>
        <v>3921</v>
      </c>
      <c r="D18" s="8">
        <v>0</v>
      </c>
      <c r="E18" s="8">
        <v>0</v>
      </c>
      <c r="F18" s="7">
        <f t="shared" si="1"/>
        <v>1623.16</v>
      </c>
      <c r="G18" s="6" t="str">
        <f>IF(ISERROR(RefStr!D39),"-",UPPER(TRIM(RefStr!D39)))</f>
        <v>NENAD BAKIĆ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ŽELJKA OBAD</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015522832</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zeljka@fiducia@hr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3694140</v>
      </c>
      <c r="C25" s="5">
        <f>PRRAS!K42</f>
        <v>2459296</v>
      </c>
      <c r="D25" s="8">
        <v>0</v>
      </c>
      <c r="E25" s="8">
        <v>0</v>
      </c>
      <c r="F25" s="7">
        <f t="shared" si="1"/>
        <v>2067055.6799999997</v>
      </c>
      <c r="I25" s="11" t="s">
        <v>2678</v>
      </c>
      <c r="J25" s="8">
        <f t="shared" si="0"/>
        <v>0</v>
      </c>
    </row>
    <row r="26" spans="1:10" ht="12.75">
      <c r="A26" s="5">
        <f>PRRAS!I43</f>
        <v>25</v>
      </c>
      <c r="B26" s="5">
        <f>PRRAS!J43</f>
        <v>870820</v>
      </c>
      <c r="C26" s="5">
        <f>PRRAS!K43</f>
        <v>1176008</v>
      </c>
      <c r="D26" s="8">
        <v>0</v>
      </c>
      <c r="E26" s="8">
        <v>0</v>
      </c>
      <c r="F26" s="7">
        <f t="shared" si="1"/>
        <v>805709</v>
      </c>
      <c r="G26" s="6" t="str">
        <f>MID(TRIM(RefStr!J15),1,4)</f>
        <v>2019</v>
      </c>
      <c r="I26" s="9" t="s">
        <v>2679</v>
      </c>
      <c r="J26" s="8">
        <f t="shared" si="0"/>
        <v>0</v>
      </c>
    </row>
    <row r="27" spans="1:10" ht="12.75">
      <c r="A27" s="5">
        <f>PRRAS!I44</f>
        <v>26</v>
      </c>
      <c r="B27" s="5">
        <f>PRRAS!J44</f>
        <v>37008</v>
      </c>
      <c r="C27" s="5">
        <f>PRRAS!K44</f>
        <v>727450</v>
      </c>
      <c r="D27" s="8">
        <v>0</v>
      </c>
      <c r="E27" s="8">
        <v>0</v>
      </c>
      <c r="F27" s="7">
        <f t="shared" si="1"/>
        <v>387896.08</v>
      </c>
      <c r="G27" s="234">
        <f>SUM(F2:F172)</f>
        <v>133406868.60999998</v>
      </c>
      <c r="I27" s="9" t="s">
        <v>143</v>
      </c>
      <c r="J27" s="8">
        <f t="shared" si="0"/>
        <v>0</v>
      </c>
    </row>
    <row r="28" spans="1:10" ht="12.75">
      <c r="A28" s="5">
        <f>PRRAS!I45</f>
        <v>27</v>
      </c>
      <c r="B28" s="5">
        <f>PRRAS!J45</f>
        <v>14568</v>
      </c>
      <c r="C28" s="5">
        <f>PRRAS!K45</f>
        <v>33147</v>
      </c>
      <c r="D28" s="8">
        <v>0</v>
      </c>
      <c r="E28" s="8">
        <v>0</v>
      </c>
      <c r="F28" s="7">
        <f t="shared" si="1"/>
        <v>21832.74</v>
      </c>
      <c r="G28" s="6" t="s">
        <v>155</v>
      </c>
      <c r="H28" s="14"/>
      <c r="I28" s="9" t="s">
        <v>144</v>
      </c>
      <c r="J28" s="8">
        <f t="shared" si="0"/>
        <v>0</v>
      </c>
    </row>
    <row r="29" spans="1:10" ht="12.75">
      <c r="A29" s="5">
        <f>PRRAS!I46</f>
        <v>28</v>
      </c>
      <c r="B29" s="5">
        <f>PRRAS!J46</f>
        <v>711792</v>
      </c>
      <c r="C29" s="5">
        <f>PRRAS!K46</f>
        <v>403542</v>
      </c>
      <c r="D29" s="8">
        <v>0</v>
      </c>
      <c r="E29" s="8">
        <v>0</v>
      </c>
      <c r="F29" s="7">
        <f t="shared" si="1"/>
        <v>425285.28</v>
      </c>
      <c r="G29" s="6" t="str">
        <f>MID(TRIM(RefStr!J15),6,2)</f>
        <v>12</v>
      </c>
      <c r="I29" s="9" t="s">
        <v>145</v>
      </c>
      <c r="J29" s="8">
        <f t="shared" si="0"/>
        <v>0</v>
      </c>
    </row>
    <row r="30" spans="1:10" ht="12.75">
      <c r="A30" s="5">
        <f>PRRAS!I47</f>
        <v>29</v>
      </c>
      <c r="B30" s="5">
        <f>PRRAS!J47</f>
        <v>107452</v>
      </c>
      <c r="C30" s="5">
        <f>PRRAS!K47</f>
        <v>11869</v>
      </c>
      <c r="D30" s="8">
        <v>0</v>
      </c>
      <c r="E30" s="8">
        <v>0</v>
      </c>
      <c r="F30" s="7">
        <f t="shared" si="1"/>
        <v>38045.1</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2678212</v>
      </c>
      <c r="C34" s="5">
        <f>PRRAS!K51</f>
        <v>902941</v>
      </c>
      <c r="D34" s="8">
        <v>0</v>
      </c>
      <c r="E34" s="8">
        <v>0</v>
      </c>
      <c r="F34" s="7">
        <f t="shared" si="1"/>
        <v>1479751.02</v>
      </c>
      <c r="G34" s="6">
        <v>0</v>
      </c>
      <c r="I34" s="9" t="s">
        <v>150</v>
      </c>
      <c r="J34" s="8">
        <f aca="true" t="shared" si="2" ref="J34:J63">ABS(B34-ROUND(B34,0))+ABS(C34-ROUND(C34,0))</f>
        <v>0</v>
      </c>
    </row>
    <row r="35" spans="1:10" ht="12.75">
      <c r="A35" s="5">
        <f>PRRAS!I52</f>
        <v>34</v>
      </c>
      <c r="B35" s="5">
        <f>PRRAS!J52</f>
        <v>2678212</v>
      </c>
      <c r="C35" s="5">
        <f>PRRAS!K52</f>
        <v>902941</v>
      </c>
      <c r="D35" s="8">
        <v>0</v>
      </c>
      <c r="E35" s="8">
        <v>0</v>
      </c>
      <c r="F35" s="7">
        <f t="shared" si="1"/>
        <v>1524591.96</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130263</v>
      </c>
      <c r="C37" s="5">
        <f>PRRAS!K54</f>
        <v>355306</v>
      </c>
      <c r="D37" s="8">
        <v>0</v>
      </c>
      <c r="E37" s="8">
        <v>0</v>
      </c>
      <c r="F37" s="7">
        <f t="shared" si="1"/>
        <v>302715</v>
      </c>
      <c r="G37" s="8">
        <f>SUM(J2:J49)</f>
        <v>0</v>
      </c>
      <c r="I37" s="9" t="s">
        <v>153</v>
      </c>
      <c r="J37" s="8">
        <f t="shared" si="2"/>
        <v>0</v>
      </c>
    </row>
    <row r="38" spans="1:10" ht="12.75">
      <c r="A38" s="5">
        <f>PRRAS!I55</f>
        <v>37</v>
      </c>
      <c r="B38" s="5">
        <f>PRRAS!J55</f>
        <v>14845</v>
      </c>
      <c r="C38" s="5">
        <f>PRRAS!K55</f>
        <v>25041</v>
      </c>
      <c r="D38" s="8">
        <v>0</v>
      </c>
      <c r="E38" s="8">
        <v>0</v>
      </c>
      <c r="F38" s="7">
        <f t="shared" si="1"/>
        <v>24022.989999999998</v>
      </c>
      <c r="G38" s="6" t="str">
        <f>TEXT(INT(VALUE(RefStr!J13)),"00000000000")</f>
        <v>29139223214</v>
      </c>
      <c r="I38" s="9" t="s">
        <v>1861</v>
      </c>
      <c r="J38" s="8">
        <f t="shared" si="2"/>
        <v>0</v>
      </c>
    </row>
    <row r="39" spans="1:10" ht="12.75">
      <c r="A39" s="5">
        <f>PRRAS!I56</f>
        <v>38</v>
      </c>
      <c r="B39" s="5">
        <f>PRRAS!J56</f>
        <v>6260</v>
      </c>
      <c r="C39" s="5">
        <f>PRRAS!K56</f>
        <v>25041</v>
      </c>
      <c r="D39" s="8">
        <v>0</v>
      </c>
      <c r="E39" s="8">
        <v>0</v>
      </c>
      <c r="F39" s="7">
        <f t="shared" si="1"/>
        <v>21409.96</v>
      </c>
      <c r="G39" s="6" t="str">
        <f>TEXT(INT(VALUE(RefStr!J9)),"00000")</f>
        <v>287998</v>
      </c>
      <c r="I39" s="9" t="s">
        <v>1860</v>
      </c>
      <c r="J39" s="8">
        <f t="shared" si="2"/>
        <v>0</v>
      </c>
    </row>
    <row r="40" spans="1:10" ht="12.75">
      <c r="A40" s="5">
        <f>PRRAS!I57</f>
        <v>39</v>
      </c>
      <c r="B40" s="5">
        <f>PRRAS!J57</f>
        <v>8585</v>
      </c>
      <c r="C40" s="5">
        <f>PRRAS!K57</f>
        <v>0</v>
      </c>
      <c r="D40" s="8">
        <v>0</v>
      </c>
      <c r="E40" s="8">
        <v>0</v>
      </c>
      <c r="F40" s="7">
        <f t="shared" si="1"/>
        <v>3348.15</v>
      </c>
      <c r="G40" s="6" t="str">
        <f>RefStr!J19</f>
        <v>DA</v>
      </c>
      <c r="I40" s="9" t="s">
        <v>1291</v>
      </c>
      <c r="J40" s="8">
        <f t="shared" si="2"/>
        <v>0</v>
      </c>
    </row>
    <row r="41" spans="1:10" ht="12.75">
      <c r="A41" s="5">
        <f>PRRAS!I58</f>
        <v>40</v>
      </c>
      <c r="B41" s="5">
        <f>PRRAS!J58</f>
        <v>9938</v>
      </c>
      <c r="C41" s="5">
        <f>PRRAS!K58</f>
        <v>1</v>
      </c>
      <c r="D41" s="8">
        <v>0</v>
      </c>
      <c r="E41" s="8">
        <v>0</v>
      </c>
      <c r="F41" s="7">
        <f t="shared" si="1"/>
        <v>3976.0000000000005</v>
      </c>
      <c r="G41" s="6" t="str">
        <f>IF(RefStr!E5&lt;&gt;"",TEXT(RefStr!E5,"YYYYMMDD"),"")</f>
        <v>20190101</v>
      </c>
      <c r="I41" s="9" t="s">
        <v>687</v>
      </c>
      <c r="J41" s="8">
        <f t="shared" si="2"/>
        <v>0</v>
      </c>
    </row>
    <row r="42" spans="1:10" ht="12.75">
      <c r="A42" s="5">
        <f>PRRAS!I59</f>
        <v>41</v>
      </c>
      <c r="B42" s="5">
        <f>PRRAS!J59</f>
        <v>3420</v>
      </c>
      <c r="C42" s="5">
        <f>PRRAS!K59</f>
        <v>0</v>
      </c>
      <c r="D42" s="8">
        <v>0</v>
      </c>
      <c r="E42" s="8">
        <v>0</v>
      </c>
      <c r="F42" s="7">
        <f t="shared" si="1"/>
        <v>1402.1999999999998</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458856062.84000003</v>
      </c>
      <c r="I43" s="9" t="s">
        <v>2923</v>
      </c>
      <c r="J43" s="8">
        <f t="shared" si="2"/>
        <v>0</v>
      </c>
    </row>
    <row r="44" spans="1:10" ht="12.75">
      <c r="A44" s="5">
        <f>PRRAS!I61</f>
        <v>43</v>
      </c>
      <c r="B44" s="5">
        <f>PRRAS!J61</f>
        <v>3420</v>
      </c>
      <c r="C44" s="5">
        <f>PRRAS!K61</f>
        <v>0</v>
      </c>
      <c r="D44" s="8">
        <v>0</v>
      </c>
      <c r="E44" s="8">
        <v>0</v>
      </c>
      <c r="F44" s="7">
        <f t="shared" si="1"/>
        <v>1470.6</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6518</v>
      </c>
      <c r="C46" s="5">
        <f>PRRAS!K63</f>
        <v>1</v>
      </c>
      <c r="D46" s="8">
        <v>0</v>
      </c>
      <c r="E46" s="8">
        <v>0</v>
      </c>
      <c r="F46" s="7">
        <f t="shared" si="1"/>
        <v>2934</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6518</v>
      </c>
      <c r="C49" s="5">
        <f>PRRAS!K66</f>
        <v>1</v>
      </c>
      <c r="D49" s="8">
        <v>0</v>
      </c>
      <c r="E49" s="8">
        <v>0</v>
      </c>
      <c r="F49" s="7">
        <f t="shared" si="1"/>
        <v>3129.6</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3064523</v>
      </c>
      <c r="C55" s="5">
        <f>PRRAS!K73</f>
        <v>3121875</v>
      </c>
      <c r="D55" s="8">
        <v>0</v>
      </c>
      <c r="E55" s="8">
        <v>0</v>
      </c>
      <c r="F55" s="7">
        <f t="shared" si="1"/>
        <v>5026467.42</v>
      </c>
      <c r="J55" s="8">
        <f t="shared" si="2"/>
        <v>0</v>
      </c>
    </row>
    <row r="56" spans="1:10" ht="12.75">
      <c r="A56" s="5">
        <f>PRRAS!I74</f>
        <v>55</v>
      </c>
      <c r="B56" s="5">
        <f>PRRAS!J74</f>
        <v>776954</v>
      </c>
      <c r="C56" s="5">
        <f>PRRAS!K74</f>
        <v>966034</v>
      </c>
      <c r="D56" s="8">
        <v>0</v>
      </c>
      <c r="E56" s="8">
        <v>0</v>
      </c>
      <c r="F56" s="7">
        <f t="shared" si="1"/>
        <v>1489962.1</v>
      </c>
      <c r="J56" s="8">
        <f t="shared" si="2"/>
        <v>0</v>
      </c>
    </row>
    <row r="57" spans="1:10" ht="12.75">
      <c r="A57" s="5">
        <f>PRRAS!I75</f>
        <v>56</v>
      </c>
      <c r="B57" s="5">
        <f>PRRAS!J75</f>
        <v>485553</v>
      </c>
      <c r="C57" s="5">
        <f>PRRAS!K75</f>
        <v>619920</v>
      </c>
      <c r="D57" s="8">
        <v>0</v>
      </c>
      <c r="E57" s="8">
        <v>0</v>
      </c>
      <c r="F57" s="7">
        <f t="shared" si="1"/>
        <v>966220.0800000001</v>
      </c>
      <c r="J57" s="8">
        <f t="shared" si="2"/>
        <v>0</v>
      </c>
    </row>
    <row r="58" spans="1:10" ht="12.75">
      <c r="A58" s="5">
        <f>PRRAS!I76</f>
        <v>57</v>
      </c>
      <c r="B58" s="5">
        <f>PRRAS!J76</f>
        <v>485553</v>
      </c>
      <c r="C58" s="5">
        <f>PRRAS!K76</f>
        <v>596520</v>
      </c>
      <c r="D58" s="8">
        <v>0</v>
      </c>
      <c r="E58" s="8">
        <v>0</v>
      </c>
      <c r="F58" s="7">
        <f t="shared" si="1"/>
        <v>956798.0099999999</v>
      </c>
      <c r="J58" s="8">
        <f t="shared" si="2"/>
        <v>0</v>
      </c>
    </row>
    <row r="59" spans="1:10" ht="12.75">
      <c r="A59" s="5">
        <f>PRRAS!I77</f>
        <v>58</v>
      </c>
      <c r="B59" s="5">
        <f>PRRAS!J77</f>
        <v>0</v>
      </c>
      <c r="C59" s="5">
        <f>PRRAS!K77</f>
        <v>23400</v>
      </c>
      <c r="D59" s="8">
        <v>0</v>
      </c>
      <c r="E59" s="8">
        <v>0</v>
      </c>
      <c r="F59" s="7">
        <f t="shared" si="1"/>
        <v>27143.999999999996</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103132</v>
      </c>
      <c r="C62" s="5">
        <f>PRRAS!K80</f>
        <v>97942</v>
      </c>
      <c r="D62" s="8">
        <v>0</v>
      </c>
      <c r="E62" s="8">
        <v>0</v>
      </c>
      <c r="F62" s="7">
        <f t="shared" si="1"/>
        <v>182399.75999999998</v>
      </c>
      <c r="J62" s="8">
        <f t="shared" si="2"/>
        <v>0</v>
      </c>
    </row>
    <row r="63" spans="1:10" ht="12.75">
      <c r="A63" s="5">
        <f>PRRAS!I81</f>
        <v>62</v>
      </c>
      <c r="B63" s="5">
        <f>PRRAS!J81</f>
        <v>188269</v>
      </c>
      <c r="C63" s="5">
        <f>PRRAS!K81</f>
        <v>248172</v>
      </c>
      <c r="D63" s="8">
        <v>0</v>
      </c>
      <c r="E63" s="8">
        <v>0</v>
      </c>
      <c r="F63" s="7">
        <f t="shared" si="1"/>
        <v>424460.05999999994</v>
      </c>
      <c r="J63" s="8">
        <f t="shared" si="2"/>
        <v>0</v>
      </c>
    </row>
    <row r="64" spans="1:10" ht="12.75">
      <c r="A64" s="5">
        <f>PRRAS!I82</f>
        <v>63</v>
      </c>
      <c r="B64" s="5">
        <f>PRRAS!J82</f>
        <v>48754</v>
      </c>
      <c r="C64" s="5">
        <f>PRRAS!K82</f>
        <v>77966</v>
      </c>
      <c r="D64" s="8">
        <v>0</v>
      </c>
      <c r="E64" s="8">
        <v>0</v>
      </c>
      <c r="F64" s="7">
        <f t="shared" si="1"/>
        <v>128952.18000000001</v>
      </c>
      <c r="J64" s="8">
        <f aca="true" t="shared" si="3" ref="J64:J95">ABS(B64-ROUND(B64,0))+ABS(C64-ROUND(C64,0))</f>
        <v>0</v>
      </c>
    </row>
    <row r="65" spans="1:10" ht="12.75">
      <c r="A65" s="5">
        <f>PRRAS!I83</f>
        <v>64</v>
      </c>
      <c r="B65" s="5">
        <f>PRRAS!J83</f>
        <v>5132</v>
      </c>
      <c r="C65" s="5">
        <f>PRRAS!K83</f>
        <v>0</v>
      </c>
      <c r="D65" s="8">
        <v>0</v>
      </c>
      <c r="E65" s="8">
        <v>0</v>
      </c>
      <c r="F65" s="7">
        <f t="shared" si="1"/>
        <v>3284.48</v>
      </c>
      <c r="J65" s="8">
        <f t="shared" si="3"/>
        <v>0</v>
      </c>
    </row>
    <row r="66" spans="1:10" ht="12.75">
      <c r="A66" s="5">
        <f>PRRAS!I84</f>
        <v>65</v>
      </c>
      <c r="B66" s="5">
        <f>PRRAS!J84</f>
        <v>134383</v>
      </c>
      <c r="C66" s="5">
        <f>PRRAS!K84</f>
        <v>170206</v>
      </c>
      <c r="D66" s="8">
        <v>0</v>
      </c>
      <c r="E66" s="8">
        <v>0</v>
      </c>
      <c r="F66" s="7">
        <f t="shared" si="1"/>
        <v>308616.75</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1200616</v>
      </c>
      <c r="C68" s="5">
        <f>PRRAS!K86</f>
        <v>1071364</v>
      </c>
      <c r="D68" s="8">
        <v>0</v>
      </c>
      <c r="E68" s="8">
        <v>0</v>
      </c>
      <c r="F68" s="7">
        <f aca="true" t="shared" si="4" ref="F68:F131">A68/100*B68+A68/50*C68</f>
        <v>2240040.48</v>
      </c>
      <c r="J68" s="8">
        <f t="shared" si="3"/>
        <v>0</v>
      </c>
    </row>
    <row r="69" spans="1:10" ht="12.75">
      <c r="A69" s="5">
        <f>PRRAS!I87</f>
        <v>68</v>
      </c>
      <c r="B69" s="5">
        <f>PRRAS!J87</f>
        <v>118019</v>
      </c>
      <c r="C69" s="5">
        <f>PRRAS!K87</f>
        <v>323967</v>
      </c>
      <c r="D69" s="8">
        <v>0</v>
      </c>
      <c r="E69" s="8">
        <v>0</v>
      </c>
      <c r="F69" s="7">
        <f t="shared" si="4"/>
        <v>520848.04000000004</v>
      </c>
      <c r="J69" s="8">
        <f t="shared" si="3"/>
        <v>0</v>
      </c>
    </row>
    <row r="70" spans="1:10" ht="12.75">
      <c r="A70" s="5">
        <f>PRRAS!I88</f>
        <v>69</v>
      </c>
      <c r="B70" s="5">
        <f>PRRAS!J88</f>
        <v>54528</v>
      </c>
      <c r="C70" s="5">
        <f>PRRAS!K88</f>
        <v>247923</v>
      </c>
      <c r="D70" s="8">
        <v>0</v>
      </c>
      <c r="E70" s="8">
        <v>0</v>
      </c>
      <c r="F70" s="7">
        <f t="shared" si="4"/>
        <v>379758.06</v>
      </c>
      <c r="J70" s="8">
        <f t="shared" si="3"/>
        <v>0</v>
      </c>
    </row>
    <row r="71" spans="1:10" ht="12.75">
      <c r="A71" s="5">
        <f>PRRAS!I89</f>
        <v>70</v>
      </c>
      <c r="B71" s="5">
        <f>PRRAS!J89</f>
        <v>63491</v>
      </c>
      <c r="C71" s="5">
        <f>PRRAS!K89</f>
        <v>74909</v>
      </c>
      <c r="D71" s="8">
        <v>0</v>
      </c>
      <c r="E71" s="8">
        <v>0</v>
      </c>
      <c r="F71" s="7">
        <f t="shared" si="4"/>
        <v>149316.3</v>
      </c>
      <c r="J71" s="8">
        <f t="shared" si="3"/>
        <v>0</v>
      </c>
    </row>
    <row r="72" spans="1:10" ht="12.75">
      <c r="A72" s="5">
        <f>PRRAS!I90</f>
        <v>71</v>
      </c>
      <c r="B72" s="5">
        <f>PRRAS!J90</f>
        <v>0</v>
      </c>
      <c r="C72" s="5">
        <f>PRRAS!K90</f>
        <v>1135</v>
      </c>
      <c r="D72" s="8">
        <v>0</v>
      </c>
      <c r="E72" s="8">
        <v>0</v>
      </c>
      <c r="F72" s="7">
        <f t="shared" si="4"/>
        <v>1611.6999999999998</v>
      </c>
      <c r="J72" s="8">
        <f t="shared" si="3"/>
        <v>0</v>
      </c>
    </row>
    <row r="73" spans="1:10" ht="12.75">
      <c r="A73" s="5">
        <f>PRRAS!I91</f>
        <v>72</v>
      </c>
      <c r="B73" s="5">
        <f>PRRAS!J91</f>
        <v>0</v>
      </c>
      <c r="C73" s="5">
        <f>PRRAS!K91</f>
        <v>250049</v>
      </c>
      <c r="D73" s="8">
        <v>0</v>
      </c>
      <c r="E73" s="8">
        <v>0</v>
      </c>
      <c r="F73" s="7">
        <f t="shared" si="4"/>
        <v>360070.56</v>
      </c>
      <c r="J73" s="8">
        <f t="shared" si="3"/>
        <v>0</v>
      </c>
    </row>
    <row r="74" spans="1:10" ht="12.75">
      <c r="A74" s="5">
        <f>PRRAS!I92</f>
        <v>73</v>
      </c>
      <c r="B74" s="5">
        <f>PRRAS!J92</f>
        <v>0</v>
      </c>
      <c r="C74" s="5">
        <f>PRRAS!K92</f>
        <v>97659</v>
      </c>
      <c r="D74" s="8">
        <v>0</v>
      </c>
      <c r="E74" s="8">
        <v>0</v>
      </c>
      <c r="F74" s="7">
        <f t="shared" si="4"/>
        <v>142582.13999999998</v>
      </c>
      <c r="J74" s="8">
        <f t="shared" si="3"/>
        <v>0</v>
      </c>
    </row>
    <row r="75" spans="1:10" ht="12.75">
      <c r="A75" s="5">
        <f>PRRAS!I93</f>
        <v>74</v>
      </c>
      <c r="B75" s="5">
        <f>PRRAS!J93</f>
        <v>0</v>
      </c>
      <c r="C75" s="5">
        <f>PRRAS!K93</f>
        <v>19532</v>
      </c>
      <c r="D75" s="8">
        <v>0</v>
      </c>
      <c r="E75" s="8">
        <v>0</v>
      </c>
      <c r="F75" s="7">
        <f t="shared" si="4"/>
        <v>28907.36</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132858</v>
      </c>
      <c r="D77" s="8">
        <v>0</v>
      </c>
      <c r="E77" s="8">
        <v>0</v>
      </c>
      <c r="F77" s="7">
        <f t="shared" si="4"/>
        <v>201944.16</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481637</v>
      </c>
      <c r="C83" s="5">
        <f>PRRAS!K101</f>
        <v>49700</v>
      </c>
      <c r="D83" s="8">
        <v>0</v>
      </c>
      <c r="E83" s="8">
        <v>0</v>
      </c>
      <c r="F83" s="7">
        <f t="shared" si="4"/>
        <v>476450.33999999997</v>
      </c>
      <c r="J83" s="8">
        <f t="shared" si="3"/>
        <v>0</v>
      </c>
    </row>
    <row r="84" spans="1:10" ht="12.75">
      <c r="A84" s="5">
        <f>PRRAS!I102</f>
        <v>83</v>
      </c>
      <c r="B84" s="5">
        <f>PRRAS!J102</f>
        <v>332719</v>
      </c>
      <c r="C84" s="5">
        <f>PRRAS!K102</f>
        <v>49700</v>
      </c>
      <c r="D84" s="8">
        <v>0</v>
      </c>
      <c r="E84" s="8">
        <v>0</v>
      </c>
      <c r="F84" s="7">
        <f t="shared" si="4"/>
        <v>358658.76999999996</v>
      </c>
      <c r="J84" s="8">
        <f t="shared" si="3"/>
        <v>0</v>
      </c>
    </row>
    <row r="85" spans="1:10" ht="12.75">
      <c r="A85" s="5">
        <f>PRRAS!I103</f>
        <v>84</v>
      </c>
      <c r="B85" s="5">
        <f>PRRAS!J103</f>
        <v>148523</v>
      </c>
      <c r="C85" s="5">
        <f>PRRAS!K103</f>
        <v>0</v>
      </c>
      <c r="D85" s="8">
        <v>0</v>
      </c>
      <c r="E85" s="8">
        <v>0</v>
      </c>
      <c r="F85" s="7">
        <f t="shared" si="4"/>
        <v>124759.31999999999</v>
      </c>
      <c r="J85" s="8">
        <f t="shared" si="3"/>
        <v>0</v>
      </c>
    </row>
    <row r="86" spans="1:10" ht="12.75">
      <c r="A86" s="5">
        <f>PRRAS!I104</f>
        <v>85</v>
      </c>
      <c r="B86" s="5">
        <f>PRRAS!J104</f>
        <v>395</v>
      </c>
      <c r="C86" s="5">
        <f>PRRAS!K104</f>
        <v>0</v>
      </c>
      <c r="D86" s="8">
        <v>0</v>
      </c>
      <c r="E86" s="8">
        <v>0</v>
      </c>
      <c r="F86" s="7">
        <f t="shared" si="4"/>
        <v>335.75</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369416</v>
      </c>
      <c r="C88" s="5">
        <f>PRRAS!K106</f>
        <v>343781</v>
      </c>
      <c r="D88" s="8">
        <v>0</v>
      </c>
      <c r="E88" s="8">
        <v>0</v>
      </c>
      <c r="F88" s="7">
        <f t="shared" si="4"/>
        <v>919570.8599999999</v>
      </c>
      <c r="J88" s="8">
        <f t="shared" si="3"/>
        <v>0</v>
      </c>
    </row>
    <row r="89" spans="1:10" ht="12.75">
      <c r="A89" s="5">
        <f>PRRAS!I107</f>
        <v>88</v>
      </c>
      <c r="B89" s="5">
        <f>PRRAS!J107</f>
        <v>37287</v>
      </c>
      <c r="C89" s="5">
        <f>PRRAS!K107</f>
        <v>70328</v>
      </c>
      <c r="D89" s="8">
        <v>0</v>
      </c>
      <c r="E89" s="8">
        <v>0</v>
      </c>
      <c r="F89" s="7">
        <f t="shared" si="4"/>
        <v>156589.84</v>
      </c>
      <c r="J89" s="8">
        <f t="shared" si="3"/>
        <v>0</v>
      </c>
    </row>
    <row r="90" spans="1:10" ht="12.75">
      <c r="A90" s="5">
        <f>PRRAS!I108</f>
        <v>89</v>
      </c>
      <c r="B90" s="5">
        <f>PRRAS!J108</f>
        <v>7821</v>
      </c>
      <c r="C90" s="5">
        <f>PRRAS!K108</f>
        <v>0</v>
      </c>
      <c r="D90" s="8">
        <v>0</v>
      </c>
      <c r="E90" s="8">
        <v>0</v>
      </c>
      <c r="F90" s="7">
        <f t="shared" si="4"/>
        <v>6960.6900000000005</v>
      </c>
      <c r="J90" s="8">
        <f t="shared" si="3"/>
        <v>0</v>
      </c>
    </row>
    <row r="91" spans="1:10" ht="12.75">
      <c r="A91" s="5">
        <f>PRRAS!I109</f>
        <v>90</v>
      </c>
      <c r="B91" s="5">
        <f>PRRAS!J109</f>
        <v>73836</v>
      </c>
      <c r="C91" s="5">
        <f>PRRAS!K109</f>
        <v>4033</v>
      </c>
      <c r="D91" s="8">
        <v>0</v>
      </c>
      <c r="E91" s="8">
        <v>0</v>
      </c>
      <c r="F91" s="7">
        <f t="shared" si="4"/>
        <v>73711.8</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48352</v>
      </c>
      <c r="C93" s="5">
        <f>PRRAS!K111</f>
        <v>51757</v>
      </c>
      <c r="D93" s="8">
        <v>0</v>
      </c>
      <c r="E93" s="8">
        <v>0</v>
      </c>
      <c r="F93" s="7">
        <f t="shared" si="4"/>
        <v>139716.72</v>
      </c>
      <c r="J93" s="8">
        <f t="shared" si="3"/>
        <v>0</v>
      </c>
    </row>
    <row r="94" spans="1:10" ht="12.75">
      <c r="A94" s="5">
        <f>PRRAS!I112</f>
        <v>93</v>
      </c>
      <c r="B94" s="5">
        <f>PRRAS!J112</f>
        <v>1210</v>
      </c>
      <c r="C94" s="5">
        <f>PRRAS!K112</f>
        <v>110</v>
      </c>
      <c r="D94" s="8">
        <v>0</v>
      </c>
      <c r="E94" s="8">
        <v>0</v>
      </c>
      <c r="F94" s="7">
        <f t="shared" si="4"/>
        <v>1329.9</v>
      </c>
      <c r="J94" s="8">
        <f t="shared" si="3"/>
        <v>0</v>
      </c>
    </row>
    <row r="95" spans="1:10" ht="12.75">
      <c r="A95" s="5">
        <f>PRRAS!I113</f>
        <v>94</v>
      </c>
      <c r="B95" s="5">
        <f>PRRAS!J113</f>
        <v>87455</v>
      </c>
      <c r="C95" s="5">
        <f>PRRAS!K113</f>
        <v>122037</v>
      </c>
      <c r="D95" s="8">
        <v>0</v>
      </c>
      <c r="E95" s="8">
        <v>0</v>
      </c>
      <c r="F95" s="7">
        <f t="shared" si="4"/>
        <v>311637.26</v>
      </c>
      <c r="J95" s="8">
        <f t="shared" si="3"/>
        <v>0</v>
      </c>
    </row>
    <row r="96" spans="1:10" ht="12.75">
      <c r="A96" s="5">
        <f>PRRAS!I114</f>
        <v>95</v>
      </c>
      <c r="B96" s="5">
        <f>PRRAS!J114</f>
        <v>5177</v>
      </c>
      <c r="C96" s="5">
        <f>PRRAS!K114</f>
        <v>4355</v>
      </c>
      <c r="D96" s="8">
        <v>0</v>
      </c>
      <c r="E96" s="8">
        <v>0</v>
      </c>
      <c r="F96" s="7">
        <f t="shared" si="4"/>
        <v>13192.65</v>
      </c>
      <c r="J96" s="8">
        <f aca="true" t="shared" si="5" ref="J96:J127">ABS(B96-ROUND(B96,0))+ABS(C96-ROUND(C96,0))</f>
        <v>0</v>
      </c>
    </row>
    <row r="97" spans="1:10" ht="12.75">
      <c r="A97" s="5">
        <f>PRRAS!I115</f>
        <v>96</v>
      </c>
      <c r="B97" s="5">
        <f>PRRAS!J115</f>
        <v>108278</v>
      </c>
      <c r="C97" s="5">
        <f>PRRAS!K115</f>
        <v>91161</v>
      </c>
      <c r="D97" s="8">
        <v>0</v>
      </c>
      <c r="E97" s="8">
        <v>0</v>
      </c>
      <c r="F97" s="7">
        <f t="shared" si="4"/>
        <v>278976</v>
      </c>
      <c r="J97" s="8">
        <f t="shared" si="5"/>
        <v>0</v>
      </c>
    </row>
    <row r="98" spans="1:10" ht="12.75">
      <c r="A98" s="5">
        <f>PRRAS!I116</f>
        <v>97</v>
      </c>
      <c r="B98" s="5">
        <f>PRRAS!J116</f>
        <v>130798</v>
      </c>
      <c r="C98" s="5">
        <f>PRRAS!K116</f>
        <v>55866</v>
      </c>
      <c r="D98" s="8">
        <v>0</v>
      </c>
      <c r="E98" s="8">
        <v>0</v>
      </c>
      <c r="F98" s="7">
        <f t="shared" si="4"/>
        <v>235254.09999999998</v>
      </c>
      <c r="J98" s="8">
        <f t="shared" si="5"/>
        <v>0</v>
      </c>
    </row>
    <row r="99" spans="1:10" ht="12.75">
      <c r="A99" s="5">
        <f>PRRAS!I117</f>
        <v>98</v>
      </c>
      <c r="B99" s="5">
        <f>PRRAS!J117</f>
        <v>21239</v>
      </c>
      <c r="C99" s="5">
        <f>PRRAS!K117</f>
        <v>27943</v>
      </c>
      <c r="D99" s="8">
        <v>0</v>
      </c>
      <c r="E99" s="8">
        <v>0</v>
      </c>
      <c r="F99" s="7">
        <f t="shared" si="4"/>
        <v>75582.5</v>
      </c>
      <c r="J99" s="8">
        <f t="shared" si="5"/>
        <v>0</v>
      </c>
    </row>
    <row r="100" spans="1:10" ht="12.75">
      <c r="A100" s="5">
        <f>PRRAS!I118</f>
        <v>99</v>
      </c>
      <c r="B100" s="5">
        <f>PRRAS!J118</f>
        <v>2000</v>
      </c>
      <c r="C100" s="5">
        <f>PRRAS!K118</f>
        <v>0</v>
      </c>
      <c r="D100" s="8">
        <v>0</v>
      </c>
      <c r="E100" s="8">
        <v>0</v>
      </c>
      <c r="F100" s="7">
        <f t="shared" si="4"/>
        <v>1980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107559</v>
      </c>
      <c r="C102" s="5">
        <f>PRRAS!K120</f>
        <v>27923</v>
      </c>
      <c r="D102" s="8">
        <v>0</v>
      </c>
      <c r="E102" s="8">
        <v>0</v>
      </c>
      <c r="F102" s="7">
        <f t="shared" si="4"/>
        <v>165039.05</v>
      </c>
      <c r="J102" s="8">
        <f t="shared" si="5"/>
        <v>0</v>
      </c>
    </row>
    <row r="103" spans="1:10" ht="12.75">
      <c r="A103" s="5">
        <f>PRRAS!I121</f>
        <v>102</v>
      </c>
      <c r="B103" s="5">
        <f>PRRAS!J121</f>
        <v>100746</v>
      </c>
      <c r="C103" s="5">
        <f>PRRAS!K121</f>
        <v>48001</v>
      </c>
      <c r="D103" s="8">
        <v>0</v>
      </c>
      <c r="E103" s="8">
        <v>0</v>
      </c>
      <c r="F103" s="7">
        <f t="shared" si="4"/>
        <v>200682.96000000002</v>
      </c>
      <c r="J103" s="8">
        <f t="shared" si="5"/>
        <v>0</v>
      </c>
    </row>
    <row r="104" spans="1:10" ht="12.75">
      <c r="A104" s="5">
        <f>PRRAS!I122</f>
        <v>103</v>
      </c>
      <c r="B104" s="5">
        <f>PRRAS!J122</f>
        <v>0</v>
      </c>
      <c r="C104" s="5">
        <f>PRRAS!K122</f>
        <v>4767</v>
      </c>
      <c r="D104" s="8">
        <v>0</v>
      </c>
      <c r="E104" s="8">
        <v>0</v>
      </c>
      <c r="F104" s="7">
        <f t="shared" si="4"/>
        <v>9820.02</v>
      </c>
      <c r="J104" s="8">
        <f t="shared" si="5"/>
        <v>0</v>
      </c>
    </row>
    <row r="105" spans="1:10" ht="12.75">
      <c r="A105" s="5">
        <f>PRRAS!I123</f>
        <v>104</v>
      </c>
      <c r="B105" s="5">
        <f>PRRAS!J123</f>
        <v>76015</v>
      </c>
      <c r="C105" s="5">
        <f>PRRAS!K123</f>
        <v>41634</v>
      </c>
      <c r="D105" s="8">
        <v>0</v>
      </c>
      <c r="E105" s="8">
        <v>0</v>
      </c>
      <c r="F105" s="7">
        <f t="shared" si="4"/>
        <v>165654.32</v>
      </c>
      <c r="J105" s="8">
        <f t="shared" si="5"/>
        <v>0</v>
      </c>
    </row>
    <row r="106" spans="1:10" ht="12.75">
      <c r="A106" s="5">
        <f>PRRAS!I124</f>
        <v>105</v>
      </c>
      <c r="B106" s="5">
        <f>PRRAS!J124</f>
        <v>4467</v>
      </c>
      <c r="C106" s="5">
        <f>PRRAS!K124</f>
        <v>0</v>
      </c>
      <c r="D106" s="8">
        <v>0</v>
      </c>
      <c r="E106" s="8">
        <v>0</v>
      </c>
      <c r="F106" s="7">
        <f t="shared" si="4"/>
        <v>4690.35</v>
      </c>
      <c r="J106" s="8">
        <f t="shared" si="5"/>
        <v>0</v>
      </c>
    </row>
    <row r="107" spans="1:10" ht="12.75">
      <c r="A107" s="5">
        <f>PRRAS!I125</f>
        <v>106</v>
      </c>
      <c r="B107" s="5">
        <f>PRRAS!J125</f>
        <v>0</v>
      </c>
      <c r="C107" s="5">
        <f>PRRAS!K125</f>
        <v>1250</v>
      </c>
      <c r="D107" s="8">
        <v>0</v>
      </c>
      <c r="E107" s="8">
        <v>0</v>
      </c>
      <c r="F107" s="7">
        <f t="shared" si="4"/>
        <v>2650</v>
      </c>
      <c r="J107" s="8">
        <f t="shared" si="5"/>
        <v>0</v>
      </c>
    </row>
    <row r="108" spans="1:10" ht="12.75">
      <c r="A108" s="5">
        <f>PRRAS!I126</f>
        <v>107</v>
      </c>
      <c r="B108" s="5">
        <f>PRRAS!J126</f>
        <v>20264</v>
      </c>
      <c r="C108" s="5">
        <f>PRRAS!K126</f>
        <v>350</v>
      </c>
      <c r="D108" s="8">
        <v>0</v>
      </c>
      <c r="E108" s="8">
        <v>0</v>
      </c>
      <c r="F108" s="7">
        <f t="shared" si="4"/>
        <v>22431.48</v>
      </c>
      <c r="J108" s="8">
        <f t="shared" si="5"/>
        <v>0</v>
      </c>
    </row>
    <row r="109" spans="1:10" ht="12.75">
      <c r="A109" s="5">
        <f>PRRAS!I127</f>
        <v>108</v>
      </c>
      <c r="B109" s="5">
        <f>PRRAS!J127</f>
        <v>17098</v>
      </c>
      <c r="C109" s="5">
        <f>PRRAS!K127</f>
        <v>17998</v>
      </c>
      <c r="D109" s="8">
        <v>0</v>
      </c>
      <c r="E109" s="8">
        <v>0</v>
      </c>
      <c r="F109" s="7">
        <f t="shared" si="4"/>
        <v>57341.520000000004</v>
      </c>
      <c r="J109" s="8">
        <f t="shared" si="5"/>
        <v>0</v>
      </c>
    </row>
    <row r="110" spans="1:10" ht="12.75">
      <c r="A110" s="5">
        <f>PRRAS!I128</f>
        <v>109</v>
      </c>
      <c r="B110" s="5">
        <f>PRRAS!J128</f>
        <v>14588</v>
      </c>
      <c r="C110" s="5">
        <f>PRRAS!K128</f>
        <v>12975</v>
      </c>
      <c r="D110" s="8">
        <v>0</v>
      </c>
      <c r="E110" s="8">
        <v>0</v>
      </c>
      <c r="F110" s="7">
        <f t="shared" si="4"/>
        <v>44186.420000000006</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14588</v>
      </c>
      <c r="C116" s="5">
        <f>PRRAS!K134</f>
        <v>12975</v>
      </c>
      <c r="D116" s="8">
        <v>0</v>
      </c>
      <c r="E116" s="8">
        <v>0</v>
      </c>
      <c r="F116" s="7">
        <f t="shared" si="4"/>
        <v>46618.7</v>
      </c>
      <c r="J116" s="8">
        <f t="shared" si="5"/>
        <v>0</v>
      </c>
    </row>
    <row r="117" spans="1:10" ht="12.75">
      <c r="A117" s="5">
        <f>PRRAS!I135</f>
        <v>116</v>
      </c>
      <c r="B117" s="5">
        <f>PRRAS!J135</f>
        <v>7010</v>
      </c>
      <c r="C117" s="5">
        <f>PRRAS!K135</f>
        <v>8039</v>
      </c>
      <c r="D117" s="8">
        <v>0</v>
      </c>
      <c r="E117" s="8">
        <v>0</v>
      </c>
      <c r="F117" s="7">
        <f t="shared" si="4"/>
        <v>26782.079999999998</v>
      </c>
      <c r="J117" s="8">
        <f t="shared" si="5"/>
        <v>0</v>
      </c>
    </row>
    <row r="118" spans="1:10" ht="12.75">
      <c r="A118" s="5">
        <f>PRRAS!I136</f>
        <v>117</v>
      </c>
      <c r="B118" s="5">
        <f>PRRAS!J136</f>
        <v>7440</v>
      </c>
      <c r="C118" s="5">
        <f>PRRAS!K136</f>
        <v>4936</v>
      </c>
      <c r="D118" s="8">
        <v>0</v>
      </c>
      <c r="E118" s="8">
        <v>0</v>
      </c>
      <c r="F118" s="7">
        <f t="shared" si="4"/>
        <v>20255.04</v>
      </c>
      <c r="J118" s="8">
        <f t="shared" si="5"/>
        <v>0</v>
      </c>
    </row>
    <row r="119" spans="1:10" ht="12.75">
      <c r="A119" s="5">
        <f>PRRAS!I137</f>
        <v>118</v>
      </c>
      <c r="B119" s="5">
        <f>PRRAS!J137</f>
        <v>138</v>
      </c>
      <c r="C119" s="5">
        <f>PRRAS!K137</f>
        <v>0</v>
      </c>
      <c r="D119" s="8">
        <v>0</v>
      </c>
      <c r="E119" s="8">
        <v>0</v>
      </c>
      <c r="F119" s="7">
        <f t="shared" si="4"/>
        <v>162.84</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1055267</v>
      </c>
      <c r="C121" s="5">
        <f>PRRAS!K139</f>
        <v>972908</v>
      </c>
      <c r="D121" s="8">
        <v>0</v>
      </c>
      <c r="E121" s="8">
        <v>0</v>
      </c>
      <c r="F121" s="7">
        <f t="shared" si="4"/>
        <v>3601299.5999999996</v>
      </c>
      <c r="J121" s="8">
        <f t="shared" si="5"/>
        <v>0</v>
      </c>
    </row>
    <row r="122" spans="1:10" ht="12.75">
      <c r="A122" s="5">
        <f>PRRAS!I140</f>
        <v>121</v>
      </c>
      <c r="B122" s="5">
        <f>PRRAS!J140</f>
        <v>1000</v>
      </c>
      <c r="C122" s="5">
        <f>PRRAS!K140</f>
        <v>333137</v>
      </c>
      <c r="D122" s="8">
        <v>0</v>
      </c>
      <c r="E122" s="8">
        <v>0</v>
      </c>
      <c r="F122" s="7">
        <f t="shared" si="4"/>
        <v>807401.5399999999</v>
      </c>
      <c r="J122" s="8">
        <f t="shared" si="5"/>
        <v>0</v>
      </c>
    </row>
    <row r="123" spans="1:10" ht="12.75">
      <c r="A123" s="5">
        <f>PRRAS!I141</f>
        <v>122</v>
      </c>
      <c r="B123" s="5">
        <f>PRRAS!J141</f>
        <v>1000</v>
      </c>
      <c r="C123" s="5">
        <f>PRRAS!K141</f>
        <v>161768</v>
      </c>
      <c r="D123" s="8">
        <v>0</v>
      </c>
      <c r="E123" s="8">
        <v>0</v>
      </c>
      <c r="F123" s="7">
        <f t="shared" si="4"/>
        <v>395933.92</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171369</v>
      </c>
      <c r="D125" s="8">
        <v>0</v>
      </c>
      <c r="E125" s="8">
        <v>0</v>
      </c>
      <c r="F125" s="7">
        <f t="shared" si="4"/>
        <v>424995.12</v>
      </c>
      <c r="J125" s="8">
        <f t="shared" si="5"/>
        <v>0</v>
      </c>
    </row>
    <row r="126" spans="1:10" ht="12.75">
      <c r="A126" s="5">
        <f>PRRAS!I144</f>
        <v>125</v>
      </c>
      <c r="B126" s="5">
        <f>PRRAS!J144</f>
        <v>1054267</v>
      </c>
      <c r="C126" s="5">
        <f>PRRAS!K144</f>
        <v>639771</v>
      </c>
      <c r="D126" s="8">
        <v>0</v>
      </c>
      <c r="E126" s="8">
        <v>0</v>
      </c>
      <c r="F126" s="7">
        <f t="shared" si="4"/>
        <v>2917261.25</v>
      </c>
      <c r="J126" s="8">
        <f t="shared" si="5"/>
        <v>0</v>
      </c>
    </row>
    <row r="127" spans="1:10" ht="12.75">
      <c r="A127" s="5">
        <f>PRRAS!I145</f>
        <v>126</v>
      </c>
      <c r="B127" s="5">
        <f>PRRAS!J145</f>
        <v>1005517</v>
      </c>
      <c r="C127" s="5">
        <f>PRRAS!K145</f>
        <v>639771</v>
      </c>
      <c r="D127" s="8">
        <v>0</v>
      </c>
      <c r="E127" s="8">
        <v>0</v>
      </c>
      <c r="F127" s="7">
        <f t="shared" si="4"/>
        <v>2879174.34</v>
      </c>
      <c r="J127" s="8">
        <f t="shared" si="5"/>
        <v>0</v>
      </c>
    </row>
    <row r="128" spans="1:10" ht="12.75">
      <c r="A128" s="5">
        <f>PRRAS!I146</f>
        <v>127</v>
      </c>
      <c r="B128" s="5">
        <f>PRRAS!J146</f>
        <v>48750</v>
      </c>
      <c r="C128" s="5">
        <f>PRRAS!K146</f>
        <v>0</v>
      </c>
      <c r="D128" s="8">
        <v>0</v>
      </c>
      <c r="E128" s="8">
        <v>0</v>
      </c>
      <c r="F128" s="7">
        <f t="shared" si="4"/>
        <v>61912.5</v>
      </c>
      <c r="J128" s="8">
        <f aca="true" t="shared" si="6" ref="J128:J156">ABS(B128-ROUND(B128,0))+ABS(C128-ROUND(C128,0))</f>
        <v>0</v>
      </c>
    </row>
    <row r="129" spans="1:10" ht="12.75">
      <c r="A129" s="5">
        <f>PRRAS!I147</f>
        <v>128</v>
      </c>
      <c r="B129" s="5">
        <f>PRRAS!J147</f>
        <v>0</v>
      </c>
      <c r="C129" s="5">
        <f>PRRAS!K147</f>
        <v>80596</v>
      </c>
      <c r="D129" s="8">
        <v>0</v>
      </c>
      <c r="E129" s="8">
        <v>0</v>
      </c>
      <c r="F129" s="7">
        <f t="shared" si="4"/>
        <v>206325.76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80596</v>
      </c>
      <c r="D135" s="8">
        <v>0</v>
      </c>
      <c r="E135" s="8">
        <v>0</v>
      </c>
      <c r="F135" s="7">
        <f t="shared" si="7"/>
        <v>215997.28</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80596</v>
      </c>
      <c r="D139" s="8">
        <v>0</v>
      </c>
      <c r="E139" s="8">
        <v>0</v>
      </c>
      <c r="F139" s="7">
        <f t="shared" si="7"/>
        <v>222444.96</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3064523</v>
      </c>
      <c r="C149" s="5">
        <f>PRRAS!K167</f>
        <v>3121875</v>
      </c>
      <c r="D149" s="8">
        <v>0</v>
      </c>
      <c r="E149" s="8">
        <v>0</v>
      </c>
      <c r="F149" s="7">
        <f t="shared" si="7"/>
        <v>13776244.04</v>
      </c>
      <c r="J149" s="8">
        <f t="shared" si="6"/>
        <v>0</v>
      </c>
    </row>
    <row r="150" spans="1:10" ht="12.75">
      <c r="A150" s="5">
        <f>PRRAS!I168</f>
        <v>149</v>
      </c>
      <c r="B150" s="5">
        <f>PRRAS!J168</f>
        <v>641263</v>
      </c>
      <c r="C150" s="5">
        <f>PRRAS!K168</f>
        <v>0</v>
      </c>
      <c r="D150" s="8">
        <v>0</v>
      </c>
      <c r="E150" s="8">
        <v>0</v>
      </c>
      <c r="F150" s="7">
        <f t="shared" si="7"/>
        <v>955481.87</v>
      </c>
      <c r="J150" s="8">
        <f t="shared" si="6"/>
        <v>0</v>
      </c>
    </row>
    <row r="151" spans="1:10" ht="12.75">
      <c r="A151" s="5">
        <f>PRRAS!I169</f>
        <v>150</v>
      </c>
      <c r="B151" s="5">
        <f>PRRAS!J169</f>
        <v>0</v>
      </c>
      <c r="C151" s="5">
        <f>PRRAS!K169</f>
        <v>637389</v>
      </c>
      <c r="D151" s="8">
        <v>0</v>
      </c>
      <c r="E151" s="8">
        <v>0</v>
      </c>
      <c r="F151" s="7">
        <f t="shared" si="7"/>
        <v>1912167</v>
      </c>
      <c r="J151" s="8">
        <f t="shared" si="6"/>
        <v>0</v>
      </c>
    </row>
    <row r="152" spans="1:10" ht="12.75">
      <c r="A152" s="5">
        <f>PRRAS!I170</f>
        <v>151</v>
      </c>
      <c r="B152" s="5">
        <f>PRRAS!J170</f>
        <v>1510869</v>
      </c>
      <c r="C152" s="5">
        <f>PRRAS!K170</f>
        <v>2152131</v>
      </c>
      <c r="D152" s="8">
        <v>0</v>
      </c>
      <c r="E152" s="8">
        <v>0</v>
      </c>
      <c r="F152" s="7">
        <f t="shared" si="7"/>
        <v>8780847.81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2152132</v>
      </c>
      <c r="C155" s="5">
        <f>PRRAS!K173</f>
        <v>1514742</v>
      </c>
      <c r="D155" s="8">
        <v>0</v>
      </c>
      <c r="E155" s="8">
        <v>0</v>
      </c>
      <c r="F155" s="7">
        <f t="shared" si="7"/>
        <v>7979688.640000001</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679733</v>
      </c>
      <c r="C157" s="5">
        <f>PRRAS!K176</f>
        <v>1220957</v>
      </c>
      <c r="D157" s="8">
        <v>0</v>
      </c>
      <c r="E157" s="8">
        <v>0</v>
      </c>
      <c r="F157" s="7">
        <f>A157/100*B157+A157/50*C157</f>
        <v>4869769.32</v>
      </c>
    </row>
    <row r="158" spans="1:6" ht="12.75">
      <c r="A158" s="5">
        <f>PRRAS!I177</f>
        <v>157</v>
      </c>
      <c r="B158" s="5">
        <f>PRRAS!J177</f>
        <v>8230601</v>
      </c>
      <c r="C158" s="5">
        <f>PRRAS!K177</f>
        <v>4417263</v>
      </c>
      <c r="D158" s="8">
        <v>0</v>
      </c>
      <c r="E158" s="8">
        <v>0</v>
      </c>
      <c r="F158" s="7">
        <f aca="true" t="shared" si="8" ref="F158:F172">A158/100*B158+A158/50*C158</f>
        <v>26792249.39</v>
      </c>
    </row>
    <row r="159" spans="1:6" ht="12.75">
      <c r="A159" s="5">
        <f>PRRAS!I178</f>
        <v>158</v>
      </c>
      <c r="B159" s="5">
        <f>PRRAS!J178</f>
        <v>7689377</v>
      </c>
      <c r="C159" s="5">
        <f>PRRAS!K178</f>
        <v>5175361</v>
      </c>
      <c r="D159" s="8">
        <v>0</v>
      </c>
      <c r="E159" s="8">
        <v>0</v>
      </c>
      <c r="F159" s="7">
        <f t="shared" si="8"/>
        <v>28503356.42</v>
      </c>
    </row>
    <row r="160" spans="1:6" ht="12.75">
      <c r="A160" s="5">
        <f>PRRAS!I179</f>
        <v>159</v>
      </c>
      <c r="B160" s="5">
        <f>PRRAS!J179</f>
        <v>1220957</v>
      </c>
      <c r="C160" s="5">
        <f>PRRAS!K179</f>
        <v>462859</v>
      </c>
      <c r="D160" s="8">
        <v>0</v>
      </c>
      <c r="E160" s="8">
        <v>0</v>
      </c>
      <c r="F160" s="7">
        <f t="shared" si="8"/>
        <v>3413213.25</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2415220</v>
      </c>
      <c r="C2" s="5">
        <f>BIL!K19</f>
        <v>1948366</v>
      </c>
      <c r="D2" s="8">
        <v>0</v>
      </c>
      <c r="E2" s="8">
        <v>0</v>
      </c>
      <c r="F2" s="7">
        <f aca="true" t="shared" si="0" ref="F2:F65">A2/100*B2+A2/50*C2</f>
        <v>63119.520000000004</v>
      </c>
      <c r="G2" s="9" t="str">
        <f>TRIM(UPPER(RefStr!C13))</f>
        <v>HR5124020061100717959</v>
      </c>
      <c r="H2" s="13">
        <v>0</v>
      </c>
      <c r="I2" s="9" t="s">
        <v>3063</v>
      </c>
      <c r="J2" s="8">
        <f>ABS(B2-ROUND(B2,0))+ABS(C2-ROUND(C2,0))</f>
        <v>0</v>
      </c>
    </row>
    <row r="3" spans="1:10" ht="12.75">
      <c r="A3" s="5">
        <f>BIL!I20</f>
        <v>2</v>
      </c>
      <c r="B3" s="5">
        <f>BIL!J20</f>
        <v>618734</v>
      </c>
      <c r="C3" s="5">
        <f>BIL!K20</f>
        <v>993548</v>
      </c>
      <c r="D3" s="8">
        <v>0</v>
      </c>
      <c r="E3" s="8">
        <v>0</v>
      </c>
      <c r="F3" s="7">
        <f t="shared" si="0"/>
        <v>52116.6</v>
      </c>
      <c r="G3" s="6" t="str">
        <f>TEXT(INT(VALUE(RefStr!J11)),"00000000")</f>
        <v>04293967</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INSTITUT ZA RAZVOJ I INOVATIVNOST MLADIH-IRIM</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STROJARSKA CESTA 20</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NENAD BAKIĆ</v>
      </c>
      <c r="I18" s="11" t="s">
        <v>2671</v>
      </c>
      <c r="J18" s="8">
        <f t="shared" si="1"/>
        <v>0</v>
      </c>
    </row>
    <row r="19" spans="1:10" ht="12.75">
      <c r="A19" s="5">
        <f>BIL!I36</f>
        <v>18</v>
      </c>
      <c r="B19" s="5">
        <f>BIL!J36</f>
        <v>60351</v>
      </c>
      <c r="C19" s="5">
        <f>BIL!K36</f>
        <v>53485</v>
      </c>
      <c r="D19" s="8">
        <v>0</v>
      </c>
      <c r="E19" s="8">
        <v>0</v>
      </c>
      <c r="F19" s="7">
        <f t="shared" si="0"/>
        <v>30117.78</v>
      </c>
      <c r="I19" s="11" t="s">
        <v>2672</v>
      </c>
      <c r="J19" s="8">
        <f t="shared" si="1"/>
        <v>0</v>
      </c>
    </row>
    <row r="20" spans="1:10" ht="12.75">
      <c r="A20" s="5">
        <f>BIL!I37</f>
        <v>19</v>
      </c>
      <c r="B20" s="5">
        <f>BIL!J37</f>
        <v>0</v>
      </c>
      <c r="C20" s="5">
        <f>BIL!K37</f>
        <v>0</v>
      </c>
      <c r="D20" s="8">
        <v>0</v>
      </c>
      <c r="E20" s="8">
        <v>0</v>
      </c>
      <c r="F20" s="7">
        <f t="shared" si="0"/>
        <v>0</v>
      </c>
      <c r="G20" s="6" t="str">
        <f>IF(ISERROR(RefStr!D43),"-",UPPER(TRIM(RefStr!D43)))</f>
        <v>ŽELJKA OBAD</v>
      </c>
      <c r="I20" s="9" t="s">
        <v>2673</v>
      </c>
      <c r="J20" s="8">
        <f t="shared" si="1"/>
        <v>0</v>
      </c>
    </row>
    <row r="21" spans="1:10" ht="12.75">
      <c r="A21" s="5">
        <f>BIL!I38</f>
        <v>20</v>
      </c>
      <c r="B21" s="5">
        <f>BIL!J38</f>
        <v>0</v>
      </c>
      <c r="C21" s="5">
        <f>BIL!K38</f>
        <v>0</v>
      </c>
      <c r="D21" s="8">
        <v>0</v>
      </c>
      <c r="E21" s="8">
        <v>0</v>
      </c>
      <c r="F21" s="7">
        <f t="shared" si="0"/>
        <v>0</v>
      </c>
      <c r="G21" s="6" t="str">
        <f>IF(ISERROR(RefStr!D45),"-",UPPER(TRIM(RefStr!D45)))</f>
        <v>015522832</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zeljka@fiducia@hr</v>
      </c>
      <c r="I23" s="11" t="s">
        <v>2676</v>
      </c>
      <c r="J23" s="8">
        <f t="shared" si="1"/>
        <v>0</v>
      </c>
    </row>
    <row r="24" spans="1:10" ht="12.75">
      <c r="A24" s="5">
        <f>BIL!I41</f>
        <v>23</v>
      </c>
      <c r="B24" s="5">
        <f>BIL!J41</f>
        <v>87421</v>
      </c>
      <c r="C24" s="5">
        <f>BIL!K41</f>
        <v>98553</v>
      </c>
      <c r="D24" s="8">
        <v>0</v>
      </c>
      <c r="E24" s="8">
        <v>0</v>
      </c>
      <c r="F24" s="7">
        <f t="shared" si="0"/>
        <v>65441.21000000001</v>
      </c>
      <c r="I24" s="11" t="s">
        <v>2677</v>
      </c>
      <c r="J24" s="8">
        <f t="shared" si="1"/>
        <v>0</v>
      </c>
    </row>
    <row r="25" spans="1:10" ht="12.75">
      <c r="A25" s="5">
        <f>BIL!I42</f>
        <v>24</v>
      </c>
      <c r="B25" s="5">
        <f>BIL!J42</f>
        <v>0</v>
      </c>
      <c r="C25" s="5">
        <f>BIL!K42</f>
        <v>0</v>
      </c>
      <c r="D25" s="8">
        <v>0</v>
      </c>
      <c r="E25" s="8">
        <v>0</v>
      </c>
      <c r="F25" s="7">
        <f t="shared" si="0"/>
        <v>0</v>
      </c>
      <c r="I25" s="11" t="s">
        <v>2678</v>
      </c>
      <c r="J25" s="8">
        <f t="shared" si="1"/>
        <v>0</v>
      </c>
    </row>
    <row r="26" spans="1:10" ht="12.75">
      <c r="A26" s="5">
        <f>BIL!I43</f>
        <v>25</v>
      </c>
      <c r="B26" s="5">
        <f>BIL!J43</f>
        <v>0</v>
      </c>
      <c r="C26" s="5">
        <f>BIL!K43</f>
        <v>0</v>
      </c>
      <c r="D26" s="8">
        <v>0</v>
      </c>
      <c r="E26" s="8">
        <v>0</v>
      </c>
      <c r="F26" s="7">
        <f t="shared" si="0"/>
        <v>0</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458856062.84000003</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87421</v>
      </c>
      <c r="C31" s="5">
        <f>BIL!K48</f>
        <v>98553</v>
      </c>
      <c r="D31" s="8">
        <v>0</v>
      </c>
      <c r="E31" s="8">
        <v>0</v>
      </c>
      <c r="F31" s="7">
        <f t="shared" si="0"/>
        <v>85358.09999999999</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29139223214</v>
      </c>
      <c r="I38" s="9" t="s">
        <v>1861</v>
      </c>
      <c r="J38" s="8">
        <f t="shared" si="1"/>
        <v>0</v>
      </c>
    </row>
    <row r="39" spans="1:10" ht="12.75">
      <c r="A39" s="5">
        <f>BIL!I56</f>
        <v>38</v>
      </c>
      <c r="B39" s="5">
        <f>BIL!J56</f>
        <v>0</v>
      </c>
      <c r="C39" s="5">
        <f>BIL!K56</f>
        <v>0</v>
      </c>
      <c r="D39" s="8">
        <v>0</v>
      </c>
      <c r="E39" s="8">
        <v>0</v>
      </c>
      <c r="F39" s="7">
        <f t="shared" si="0"/>
        <v>0</v>
      </c>
      <c r="G39" s="6" t="str">
        <f>TEXT(INT(VALUE(RefStr!J9)),"00000")</f>
        <v>287998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458856062.84000003</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27070</v>
      </c>
      <c r="C47" s="5">
        <f>BIL!K64</f>
        <v>45068</v>
      </c>
      <c r="D47" s="8">
        <v>0</v>
      </c>
      <c r="E47" s="8">
        <v>0</v>
      </c>
      <c r="F47" s="7">
        <f t="shared" si="0"/>
        <v>53914.76000000001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143560</v>
      </c>
      <c r="C54" s="5">
        <f>BIL!K71</f>
        <v>168892</v>
      </c>
      <c r="D54" s="8">
        <v>0</v>
      </c>
      <c r="E54" s="8">
        <v>0</v>
      </c>
      <c r="F54" s="7">
        <f t="shared" si="0"/>
        <v>255112.32</v>
      </c>
      <c r="J54" s="8">
        <f t="shared" si="1"/>
        <v>0</v>
      </c>
    </row>
    <row r="55" spans="1:10" ht="12.75">
      <c r="A55" s="5">
        <f>BIL!I72</f>
        <v>54</v>
      </c>
      <c r="B55" s="5">
        <f>BIL!J72</f>
        <v>143560</v>
      </c>
      <c r="C55" s="5">
        <f>BIL!K72</f>
        <v>168892</v>
      </c>
      <c r="D55" s="8">
        <v>0</v>
      </c>
      <c r="E55" s="8">
        <v>0</v>
      </c>
      <c r="F55" s="7">
        <f t="shared" si="0"/>
        <v>259925.76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558383</v>
      </c>
      <c r="C65" s="5">
        <f>BIL!K82</f>
        <v>940063</v>
      </c>
      <c r="D65" s="8">
        <v>0</v>
      </c>
      <c r="E65" s="8">
        <v>0</v>
      </c>
      <c r="F65" s="7">
        <f t="shared" si="0"/>
        <v>1560645.7600000002</v>
      </c>
      <c r="J65" s="8">
        <f t="shared" si="1"/>
        <v>0</v>
      </c>
    </row>
    <row r="66" spans="1:10" ht="12.75">
      <c r="A66" s="5">
        <f>BIL!I83</f>
        <v>65</v>
      </c>
      <c r="B66" s="5">
        <f>BIL!J83</f>
        <v>558383</v>
      </c>
      <c r="C66" s="5">
        <f>BIL!K83</f>
        <v>940063</v>
      </c>
      <c r="D66" s="8">
        <v>0</v>
      </c>
      <c r="E66" s="8">
        <v>0</v>
      </c>
      <c r="F66" s="7">
        <f aca="true" t="shared" si="2" ref="F66:F129">A66/100*B66+A66/50*C66</f>
        <v>1585030.85</v>
      </c>
      <c r="J66" s="8">
        <f t="shared" si="1"/>
        <v>0</v>
      </c>
    </row>
    <row r="67" spans="1:10" ht="12.75">
      <c r="A67" s="5">
        <f>BIL!I84</f>
        <v>66</v>
      </c>
      <c r="B67" s="5">
        <f>BIL!J84</f>
        <v>555083</v>
      </c>
      <c r="C67" s="5">
        <f>BIL!K84</f>
        <v>940063</v>
      </c>
      <c r="D67" s="8">
        <v>0</v>
      </c>
      <c r="E67" s="8">
        <v>0</v>
      </c>
      <c r="F67" s="7">
        <f t="shared" si="2"/>
        <v>1607237.9400000002</v>
      </c>
      <c r="J67" s="8">
        <f aca="true" t="shared" si="3" ref="J67:J130">ABS(B67-ROUND(B67,0))+ABS(C67-ROUND(C67,0))</f>
        <v>0</v>
      </c>
    </row>
    <row r="68" spans="1:10" ht="12.75">
      <c r="A68" s="5">
        <f>BIL!I85</f>
        <v>67</v>
      </c>
      <c r="B68" s="5">
        <f>BIL!J85</f>
        <v>3300</v>
      </c>
      <c r="C68" s="5">
        <f>BIL!K85</f>
        <v>0</v>
      </c>
      <c r="D68" s="8">
        <v>0</v>
      </c>
      <c r="E68" s="8">
        <v>0</v>
      </c>
      <c r="F68" s="7">
        <f t="shared" si="2"/>
        <v>2211</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1796486</v>
      </c>
      <c r="C75" s="5">
        <f>BIL!K92</f>
        <v>954818</v>
      </c>
      <c r="D75" s="8">
        <v>0</v>
      </c>
      <c r="E75" s="8">
        <v>0</v>
      </c>
      <c r="F75" s="7">
        <f t="shared" si="2"/>
        <v>2742530.28</v>
      </c>
      <c r="J75" s="8">
        <f t="shared" si="3"/>
        <v>0</v>
      </c>
    </row>
    <row r="76" spans="1:10" ht="12.75">
      <c r="A76" s="5">
        <f>BIL!I93</f>
        <v>75</v>
      </c>
      <c r="B76" s="5">
        <f>BIL!J93</f>
        <v>1220957</v>
      </c>
      <c r="C76" s="5">
        <f>BIL!K93</f>
        <v>462859</v>
      </c>
      <c r="D76" s="8">
        <v>0</v>
      </c>
      <c r="E76" s="8">
        <v>0</v>
      </c>
      <c r="F76" s="7">
        <f t="shared" si="2"/>
        <v>1610006.25</v>
      </c>
      <c r="J76" s="8">
        <f t="shared" si="3"/>
        <v>0</v>
      </c>
    </row>
    <row r="77" spans="1:10" ht="12.75">
      <c r="A77" s="5">
        <f>BIL!I94</f>
        <v>76</v>
      </c>
      <c r="B77" s="5">
        <f>BIL!J94</f>
        <v>1220823</v>
      </c>
      <c r="C77" s="5">
        <f>BIL!K94</f>
        <v>462725</v>
      </c>
      <c r="D77" s="8">
        <v>0</v>
      </c>
      <c r="E77" s="8">
        <v>0</v>
      </c>
      <c r="F77" s="7">
        <f t="shared" si="2"/>
        <v>1631167.48</v>
      </c>
      <c r="J77" s="8">
        <f t="shared" si="3"/>
        <v>0</v>
      </c>
    </row>
    <row r="78" spans="1:10" ht="12.75">
      <c r="A78" s="5">
        <f>BIL!I95</f>
        <v>77</v>
      </c>
      <c r="B78" s="5">
        <f>BIL!J95</f>
        <v>1043504</v>
      </c>
      <c r="C78" s="5">
        <f>BIL!K95</f>
        <v>210401</v>
      </c>
      <c r="D78" s="8">
        <v>0</v>
      </c>
      <c r="E78" s="8">
        <v>0</v>
      </c>
      <c r="F78" s="7">
        <f t="shared" si="2"/>
        <v>1127515.62</v>
      </c>
      <c r="J78" s="8">
        <f t="shared" si="3"/>
        <v>0</v>
      </c>
    </row>
    <row r="79" spans="1:10" ht="12.75">
      <c r="A79" s="5">
        <f>BIL!I96</f>
        <v>78</v>
      </c>
      <c r="B79" s="5">
        <f>BIL!J96</f>
        <v>177319</v>
      </c>
      <c r="C79" s="5">
        <f>BIL!K96</f>
        <v>252324</v>
      </c>
      <c r="D79" s="8">
        <v>0</v>
      </c>
      <c r="E79" s="8">
        <v>0</v>
      </c>
      <c r="F79" s="7">
        <f t="shared" si="2"/>
        <v>531934.26</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134</v>
      </c>
      <c r="C82" s="5">
        <f>BIL!K99</f>
        <v>134</v>
      </c>
      <c r="D82" s="8">
        <v>0</v>
      </c>
      <c r="E82" s="8">
        <v>0</v>
      </c>
      <c r="F82" s="7">
        <f t="shared" si="2"/>
        <v>325.62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105529</v>
      </c>
      <c r="C84" s="5">
        <f>BIL!K101</f>
        <v>21959</v>
      </c>
      <c r="D84" s="8">
        <v>0</v>
      </c>
      <c r="E84" s="8">
        <v>0</v>
      </c>
      <c r="F84" s="7">
        <f t="shared" si="2"/>
        <v>124041.00999999998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3100</v>
      </c>
      <c r="C90" s="5">
        <f>BIL!K107</f>
        <v>1</v>
      </c>
      <c r="D90" s="8">
        <v>0</v>
      </c>
      <c r="E90" s="8">
        <v>0</v>
      </c>
      <c r="F90" s="7">
        <f t="shared" si="2"/>
        <v>2760.78</v>
      </c>
      <c r="J90" s="8">
        <f t="shared" si="3"/>
        <v>0</v>
      </c>
    </row>
    <row r="91" spans="1:10" ht="12.75">
      <c r="A91" s="5">
        <f>BIL!I108</f>
        <v>90</v>
      </c>
      <c r="B91" s="5">
        <f>BIL!J108</f>
        <v>0</v>
      </c>
      <c r="C91" s="5">
        <f>BIL!K108</f>
        <v>1</v>
      </c>
      <c r="D91" s="8">
        <v>0</v>
      </c>
      <c r="E91" s="8">
        <v>0</v>
      </c>
      <c r="F91" s="7">
        <f t="shared" si="2"/>
        <v>1.8</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3100</v>
      </c>
      <c r="C95" s="5">
        <f>BIL!K112</f>
        <v>0</v>
      </c>
      <c r="D95" s="8">
        <v>0</v>
      </c>
      <c r="E95" s="8">
        <v>0</v>
      </c>
      <c r="F95" s="7">
        <f t="shared" si="2"/>
        <v>2914</v>
      </c>
      <c r="J95" s="8">
        <f t="shared" si="3"/>
        <v>0</v>
      </c>
    </row>
    <row r="96" spans="1:10" ht="12.75">
      <c r="A96" s="5">
        <f>BIL!I113</f>
        <v>95</v>
      </c>
      <c r="B96" s="5">
        <f>BIL!J113</f>
        <v>102429</v>
      </c>
      <c r="C96" s="5">
        <f>BIL!K113</f>
        <v>21958</v>
      </c>
      <c r="D96" s="8">
        <v>0</v>
      </c>
      <c r="E96" s="8">
        <v>0</v>
      </c>
      <c r="F96" s="7">
        <f t="shared" si="2"/>
        <v>139027.75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102429</v>
      </c>
      <c r="C99" s="5">
        <f>BIL!K116</f>
        <v>21958</v>
      </c>
      <c r="D99" s="8">
        <v>0</v>
      </c>
      <c r="E99" s="8">
        <v>0</v>
      </c>
      <c r="F99" s="7">
        <f t="shared" si="2"/>
        <v>143418.1</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470000</v>
      </c>
      <c r="C126" s="5">
        <f>BIL!K143</f>
        <v>470000</v>
      </c>
      <c r="D126" s="8">
        <v>0</v>
      </c>
      <c r="E126" s="8">
        <v>0</v>
      </c>
      <c r="F126" s="7">
        <f t="shared" si="2"/>
        <v>1762500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470000</v>
      </c>
      <c r="C130" s="5">
        <f>BIL!K147</f>
        <v>470000</v>
      </c>
      <c r="D130" s="8">
        <v>0</v>
      </c>
      <c r="E130" s="8">
        <v>0</v>
      </c>
      <c r="F130" s="7">
        <f aca="true" t="shared" si="4" ref="F130:F193">A130/100*B130+A130/50*C130</f>
        <v>1818900</v>
      </c>
      <c r="J130" s="8">
        <f t="shared" si="3"/>
        <v>0</v>
      </c>
    </row>
    <row r="131" spans="1:10" ht="12.75">
      <c r="A131" s="5">
        <f>BIL!I148</f>
        <v>130</v>
      </c>
      <c r="B131" s="5">
        <f>BIL!J148</f>
        <v>470000</v>
      </c>
      <c r="C131" s="5">
        <f>BIL!K148</f>
        <v>470000</v>
      </c>
      <c r="D131" s="8">
        <v>0</v>
      </c>
      <c r="E131" s="8">
        <v>0</v>
      </c>
      <c r="F131" s="7">
        <f t="shared" si="4"/>
        <v>1833000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2415221</v>
      </c>
      <c r="C146" s="5">
        <f>BIL!K164</f>
        <v>1948366</v>
      </c>
      <c r="D146" s="8">
        <v>0</v>
      </c>
      <c r="E146" s="8">
        <v>0</v>
      </c>
      <c r="F146" s="7">
        <f t="shared" si="4"/>
        <v>9152331.85</v>
      </c>
      <c r="J146" s="8">
        <f t="shared" si="5"/>
        <v>0</v>
      </c>
    </row>
    <row r="147" spans="1:10" ht="12.75">
      <c r="A147" s="5">
        <f>BIL!I165</f>
        <v>146</v>
      </c>
      <c r="B147" s="5">
        <f>BIL!J165</f>
        <v>263089</v>
      </c>
      <c r="C147" s="5">
        <f>BIL!K165</f>
        <v>433623</v>
      </c>
      <c r="D147" s="8">
        <v>0</v>
      </c>
      <c r="E147" s="8">
        <v>0</v>
      </c>
      <c r="F147" s="7">
        <f t="shared" si="4"/>
        <v>1650289.0999999999</v>
      </c>
      <c r="J147" s="8">
        <f t="shared" si="5"/>
        <v>0</v>
      </c>
    </row>
    <row r="148" spans="1:10" ht="12.75">
      <c r="A148" s="5">
        <f>BIL!I166</f>
        <v>147</v>
      </c>
      <c r="B148" s="5">
        <f>BIL!J166</f>
        <v>131801</v>
      </c>
      <c r="C148" s="5">
        <f>BIL!K166</f>
        <v>73623</v>
      </c>
      <c r="D148" s="8">
        <v>0</v>
      </c>
      <c r="E148" s="8">
        <v>0</v>
      </c>
      <c r="F148" s="7">
        <f t="shared" si="4"/>
        <v>410199.08999999997</v>
      </c>
      <c r="J148" s="8">
        <f t="shared" si="5"/>
        <v>0</v>
      </c>
    </row>
    <row r="149" spans="1:10" ht="12.75">
      <c r="A149" s="5">
        <f>BIL!I167</f>
        <v>148</v>
      </c>
      <c r="B149" s="5">
        <f>BIL!J167</f>
        <v>79072</v>
      </c>
      <c r="C149" s="5">
        <f>BIL!K167</f>
        <v>54297</v>
      </c>
      <c r="D149" s="8">
        <v>0</v>
      </c>
      <c r="E149" s="8">
        <v>0</v>
      </c>
      <c r="F149" s="7">
        <f t="shared" si="4"/>
        <v>277745.68</v>
      </c>
      <c r="J149" s="8">
        <f t="shared" si="5"/>
        <v>0</v>
      </c>
    </row>
    <row r="150" spans="1:10" ht="12.75">
      <c r="A150" s="5">
        <f>BIL!I168</f>
        <v>149</v>
      </c>
      <c r="B150" s="5">
        <f>BIL!J168</f>
        <v>48546</v>
      </c>
      <c r="C150" s="5">
        <f>BIL!K168</f>
        <v>39845</v>
      </c>
      <c r="D150" s="8">
        <v>0</v>
      </c>
      <c r="E150" s="8">
        <v>0</v>
      </c>
      <c r="F150" s="7">
        <f t="shared" si="4"/>
        <v>191071.64</v>
      </c>
      <c r="J150" s="8">
        <f t="shared" si="5"/>
        <v>0</v>
      </c>
    </row>
    <row r="151" spans="1:10" ht="12.75">
      <c r="A151" s="5">
        <f>BIL!I169</f>
        <v>150</v>
      </c>
      <c r="B151" s="5">
        <f>BIL!J169</f>
        <v>6116</v>
      </c>
      <c r="C151" s="5">
        <f>BIL!K169</f>
        <v>0</v>
      </c>
      <c r="D151" s="8">
        <v>0</v>
      </c>
      <c r="E151" s="8">
        <v>0</v>
      </c>
      <c r="F151" s="7">
        <f t="shared" si="4"/>
        <v>9174</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4525</v>
      </c>
      <c r="C153" s="5">
        <f>BIL!K171</f>
        <v>1849</v>
      </c>
      <c r="D153" s="8">
        <v>0</v>
      </c>
      <c r="E153" s="8">
        <v>0</v>
      </c>
      <c r="F153" s="7">
        <f t="shared" si="4"/>
        <v>12498.96</v>
      </c>
      <c r="J153" s="8">
        <f t="shared" si="5"/>
        <v>0</v>
      </c>
    </row>
    <row r="154" spans="1:10" ht="12.75">
      <c r="A154" s="5">
        <f>BIL!I172</f>
        <v>153</v>
      </c>
      <c r="B154" s="5">
        <f>BIL!J172</f>
        <v>13877</v>
      </c>
      <c r="C154" s="5">
        <f>BIL!K172</f>
        <v>9689</v>
      </c>
      <c r="D154" s="8">
        <v>0</v>
      </c>
      <c r="E154" s="8">
        <v>0</v>
      </c>
      <c r="F154" s="7">
        <f t="shared" si="4"/>
        <v>50880.15</v>
      </c>
      <c r="J154" s="8">
        <f t="shared" si="5"/>
        <v>0</v>
      </c>
    </row>
    <row r="155" spans="1:10" ht="12.75">
      <c r="A155" s="5">
        <f>BIL!I173</f>
        <v>154</v>
      </c>
      <c r="B155" s="5">
        <f>BIL!J173</f>
        <v>6008</v>
      </c>
      <c r="C155" s="5">
        <f>BIL!K173</f>
        <v>2914</v>
      </c>
      <c r="D155" s="8">
        <v>0</v>
      </c>
      <c r="E155" s="8">
        <v>0</v>
      </c>
      <c r="F155" s="7">
        <f t="shared" si="4"/>
        <v>18227.440000000002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16110</v>
      </c>
      <c r="C157" s="5">
        <f>BIL!K175</f>
        <v>19326</v>
      </c>
      <c r="D157" s="8">
        <v>0</v>
      </c>
      <c r="E157" s="8">
        <v>0</v>
      </c>
      <c r="F157" s="7">
        <f t="shared" si="4"/>
        <v>85428.72</v>
      </c>
      <c r="J157" s="8">
        <f t="shared" si="5"/>
        <v>0</v>
      </c>
    </row>
    <row r="158" spans="1:10" ht="12.75">
      <c r="A158" s="5">
        <f>BIL!I176</f>
        <v>157</v>
      </c>
      <c r="B158" s="5">
        <f>BIL!J176</f>
        <v>1114</v>
      </c>
      <c r="C158" s="5">
        <f>BIL!K176</f>
        <v>1919</v>
      </c>
      <c r="D158" s="8">
        <v>0</v>
      </c>
      <c r="E158" s="8">
        <v>0</v>
      </c>
      <c r="F158" s="7">
        <f t="shared" si="4"/>
        <v>7774.639999999999</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5132</v>
      </c>
      <c r="C161" s="5">
        <f>BIL!K179</f>
        <v>5053</v>
      </c>
      <c r="D161" s="8">
        <v>0</v>
      </c>
      <c r="E161" s="8">
        <v>0</v>
      </c>
      <c r="F161" s="7">
        <f t="shared" si="4"/>
        <v>24380.800000000003</v>
      </c>
      <c r="J161" s="8">
        <f t="shared" si="5"/>
        <v>0</v>
      </c>
    </row>
    <row r="162" spans="1:10" ht="12.75">
      <c r="A162" s="5">
        <f>BIL!I180</f>
        <v>161</v>
      </c>
      <c r="B162" s="5">
        <f>BIL!J180</f>
        <v>6002</v>
      </c>
      <c r="C162" s="5">
        <f>BIL!K180</f>
        <v>996</v>
      </c>
      <c r="D162" s="8">
        <v>0</v>
      </c>
      <c r="E162" s="8">
        <v>0</v>
      </c>
      <c r="F162" s="7">
        <f t="shared" si="4"/>
        <v>12870.340000000002</v>
      </c>
      <c r="J162" s="8">
        <f t="shared" si="5"/>
        <v>0</v>
      </c>
    </row>
    <row r="163" spans="1:10" ht="12.75">
      <c r="A163" s="5">
        <f>BIL!I181</f>
        <v>162</v>
      </c>
      <c r="B163" s="5">
        <f>BIL!J181</f>
        <v>3862</v>
      </c>
      <c r="C163" s="5">
        <f>BIL!K181</f>
        <v>11358</v>
      </c>
      <c r="D163" s="8">
        <v>0</v>
      </c>
      <c r="E163" s="8">
        <v>0</v>
      </c>
      <c r="F163" s="7">
        <f t="shared" si="4"/>
        <v>43056.36000000001</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36619</v>
      </c>
      <c r="C171" s="5">
        <f>BIL!K189</f>
        <v>0</v>
      </c>
      <c r="D171" s="8">
        <v>0</v>
      </c>
      <c r="E171" s="8">
        <v>0</v>
      </c>
      <c r="F171" s="7">
        <f t="shared" si="4"/>
        <v>62252.299999999996</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36619</v>
      </c>
      <c r="C173" s="5">
        <f>BIL!K191</f>
        <v>0</v>
      </c>
      <c r="D173" s="8">
        <v>0</v>
      </c>
      <c r="E173" s="8">
        <v>0</v>
      </c>
      <c r="F173" s="7">
        <f t="shared" si="4"/>
        <v>62984.68</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100000</v>
      </c>
      <c r="C183" s="5">
        <f>BIL!K201</f>
        <v>360000</v>
      </c>
      <c r="D183" s="8">
        <v>0</v>
      </c>
      <c r="E183" s="8">
        <v>0</v>
      </c>
      <c r="F183" s="7">
        <f t="shared" si="4"/>
        <v>1492400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100000</v>
      </c>
      <c r="C187" s="5">
        <f>BIL!K205</f>
        <v>360000</v>
      </c>
      <c r="D187" s="8">
        <v>0</v>
      </c>
      <c r="E187" s="8">
        <v>0</v>
      </c>
      <c r="F187" s="7">
        <f t="shared" si="4"/>
        <v>1525200</v>
      </c>
      <c r="J187" s="8">
        <f t="shared" si="5"/>
        <v>0</v>
      </c>
    </row>
    <row r="188" spans="1:10" ht="12.75">
      <c r="A188" s="5">
        <f>BIL!I206</f>
        <v>187</v>
      </c>
      <c r="B188" s="5">
        <f>BIL!J206</f>
        <v>100000</v>
      </c>
      <c r="C188" s="5">
        <f>BIL!K206</f>
        <v>360000</v>
      </c>
      <c r="D188" s="8">
        <v>0</v>
      </c>
      <c r="E188" s="8">
        <v>0</v>
      </c>
      <c r="F188" s="7">
        <f t="shared" si="4"/>
        <v>1533400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31288</v>
      </c>
      <c r="C191" s="5">
        <f>BIL!K209</f>
        <v>0</v>
      </c>
      <c r="D191" s="8">
        <v>0</v>
      </c>
      <c r="E191" s="8">
        <v>0</v>
      </c>
      <c r="F191" s="7">
        <f t="shared" si="4"/>
        <v>59447.2</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31288</v>
      </c>
      <c r="C193" s="5">
        <f>BIL!K211</f>
        <v>0</v>
      </c>
      <c r="D193" s="8">
        <v>0</v>
      </c>
      <c r="E193" s="8">
        <v>0</v>
      </c>
      <c r="F193" s="7">
        <f t="shared" si="4"/>
        <v>60072.96</v>
      </c>
      <c r="J193" s="8">
        <f t="shared" si="5"/>
        <v>0</v>
      </c>
    </row>
    <row r="194" spans="1:10" ht="12.75">
      <c r="A194" s="5">
        <f>BIL!I212</f>
        <v>193</v>
      </c>
      <c r="B194" s="5">
        <f>BIL!J212</f>
        <v>6247</v>
      </c>
      <c r="C194" s="5">
        <f>BIL!K212</f>
        <v>0</v>
      </c>
      <c r="D194" s="8">
        <v>0</v>
      </c>
      <c r="E194" s="8">
        <v>0</v>
      </c>
      <c r="F194" s="7">
        <f aca="true" t="shared" si="6" ref="F194:F205">A194/100*B194+A194/50*C194</f>
        <v>12056.71</v>
      </c>
      <c r="J194" s="8">
        <f t="shared" si="5"/>
        <v>0</v>
      </c>
    </row>
    <row r="195" spans="1:10" ht="12.75">
      <c r="A195" s="5">
        <f>BIL!I213</f>
        <v>194</v>
      </c>
      <c r="B195" s="5">
        <f>BIL!J213</f>
        <v>25041</v>
      </c>
      <c r="C195" s="5">
        <f>BIL!K213</f>
        <v>0</v>
      </c>
      <c r="D195" s="8">
        <v>0</v>
      </c>
      <c r="E195" s="8">
        <v>0</v>
      </c>
      <c r="F195" s="7">
        <f t="shared" si="6"/>
        <v>48579.54</v>
      </c>
      <c r="J195" s="8">
        <f aca="true" t="shared" si="7" ref="J195:J205">ABS(B195-ROUND(B195,0))+ABS(C195-ROUND(C195,0))</f>
        <v>0</v>
      </c>
    </row>
    <row r="196" spans="1:10" ht="12.75">
      <c r="A196" s="5">
        <f>BIL!I214</f>
        <v>195</v>
      </c>
      <c r="B196" s="5">
        <f>BIL!J214</f>
        <v>2152132</v>
      </c>
      <c r="C196" s="5">
        <f>BIL!K214</f>
        <v>1514743</v>
      </c>
      <c r="D196" s="8">
        <v>0</v>
      </c>
      <c r="E196" s="8">
        <v>0</v>
      </c>
      <c r="F196" s="7">
        <f t="shared" si="6"/>
        <v>10104155.1</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2152132</v>
      </c>
      <c r="C200" s="5">
        <f>BIL!K218</f>
        <v>1514743</v>
      </c>
      <c r="D200" s="8">
        <v>0</v>
      </c>
      <c r="E200" s="8">
        <v>0</v>
      </c>
      <c r="F200" s="7">
        <f t="shared" si="6"/>
        <v>10311419.82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3705786</v>
      </c>
      <c r="C204" s="5">
        <f>PRRAS!K19</f>
        <v>2484486</v>
      </c>
      <c r="D204" s="8">
        <v>0</v>
      </c>
      <c r="E204" s="8">
        <v>0</v>
      </c>
      <c r="F204" s="7">
        <f t="shared" si="6"/>
        <v>17609758.74</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15015</v>
      </c>
      <c r="D208" s="8">
        <v>0</v>
      </c>
      <c r="E208" s="8">
        <v>0</v>
      </c>
      <c r="F208" s="7">
        <f t="shared" si="8"/>
        <v>62162.1</v>
      </c>
      <c r="J208" s="8">
        <f t="shared" si="9"/>
        <v>0</v>
      </c>
    </row>
    <row r="209" spans="1:10" ht="12.75">
      <c r="A209" s="5">
        <f>202+PRRAS!I24</f>
        <v>208</v>
      </c>
      <c r="B209" s="5">
        <f>PRRAS!J24</f>
        <v>0</v>
      </c>
      <c r="C209" s="5">
        <f>PRRAS!K24</f>
        <v>15015</v>
      </c>
      <c r="D209" s="8">
        <v>0</v>
      </c>
      <c r="E209" s="8">
        <v>0</v>
      </c>
      <c r="F209" s="7">
        <f t="shared" si="8"/>
        <v>62462.4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6247</v>
      </c>
      <c r="D211" s="8">
        <v>0</v>
      </c>
      <c r="E211" s="8">
        <v>0</v>
      </c>
      <c r="F211" s="7">
        <f t="shared" si="8"/>
        <v>26237.4</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6247</v>
      </c>
      <c r="D213" s="8">
        <v>0</v>
      </c>
      <c r="E213" s="8">
        <v>0</v>
      </c>
      <c r="F213" s="7">
        <f t="shared" si="8"/>
        <v>26487.280000000002</v>
      </c>
      <c r="J213" s="8">
        <f t="shared" si="9"/>
        <v>0</v>
      </c>
    </row>
    <row r="214" spans="1:10" ht="12.75">
      <c r="A214" s="5">
        <f>202+PRRAS!I29</f>
        <v>213</v>
      </c>
      <c r="B214" s="5">
        <f>PRRAS!J29</f>
        <v>1708</v>
      </c>
      <c r="C214" s="5">
        <f>PRRAS!K29</f>
        <v>3927</v>
      </c>
      <c r="D214" s="8">
        <v>0</v>
      </c>
      <c r="E214" s="8">
        <v>0</v>
      </c>
      <c r="F214" s="7">
        <f t="shared" si="8"/>
        <v>20367.06</v>
      </c>
      <c r="J214" s="8">
        <f t="shared" si="9"/>
        <v>0</v>
      </c>
    </row>
    <row r="215" spans="1:10" ht="12.75">
      <c r="A215" s="5">
        <f>202+PRRAS!I30</f>
        <v>214</v>
      </c>
      <c r="B215" s="5">
        <f>PRRAS!J30</f>
        <v>1708</v>
      </c>
      <c r="C215" s="5">
        <f>PRRAS!K30</f>
        <v>3927</v>
      </c>
      <c r="D215" s="8">
        <v>0</v>
      </c>
      <c r="E215" s="8">
        <v>0</v>
      </c>
      <c r="F215" s="7">
        <f t="shared" si="8"/>
        <v>20462.68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v>
      </c>
      <c r="C218" s="5">
        <f>PRRAS!K33</f>
        <v>6</v>
      </c>
      <c r="D218" s="8">
        <v>0</v>
      </c>
      <c r="E218" s="8">
        <v>0</v>
      </c>
      <c r="F218" s="7">
        <f t="shared" si="8"/>
        <v>30.38</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1706</v>
      </c>
      <c r="C220" s="5">
        <f>PRRAS!K35</f>
        <v>3921</v>
      </c>
      <c r="D220" s="8">
        <v>0</v>
      </c>
      <c r="E220" s="8">
        <v>0</v>
      </c>
      <c r="F220" s="7">
        <f t="shared" si="8"/>
        <v>20910.12</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3694140</v>
      </c>
      <c r="C227" s="5">
        <f>PRRAS!K42</f>
        <v>2459296</v>
      </c>
      <c r="D227" s="8">
        <v>0</v>
      </c>
      <c r="E227" s="8">
        <v>0</v>
      </c>
      <c r="F227" s="7">
        <f t="shared" si="8"/>
        <v>19464774.319999997</v>
      </c>
      <c r="J227" s="8">
        <f t="shared" si="9"/>
        <v>0</v>
      </c>
    </row>
    <row r="228" spans="1:10" ht="12.75">
      <c r="A228" s="5">
        <f>202+PRRAS!I43</f>
        <v>227</v>
      </c>
      <c r="B228" s="5">
        <f>PRRAS!J43</f>
        <v>870820</v>
      </c>
      <c r="C228" s="5">
        <f>PRRAS!K43</f>
        <v>1176008</v>
      </c>
      <c r="D228" s="8">
        <v>0</v>
      </c>
      <c r="E228" s="8">
        <v>0</v>
      </c>
      <c r="F228" s="7">
        <f t="shared" si="8"/>
        <v>7315837.720000001</v>
      </c>
      <c r="J228" s="8">
        <f t="shared" si="9"/>
        <v>0</v>
      </c>
    </row>
    <row r="229" spans="1:10" ht="12.75">
      <c r="A229" s="5">
        <f>202+PRRAS!I44</f>
        <v>228</v>
      </c>
      <c r="B229" s="5">
        <f>PRRAS!J44</f>
        <v>37008</v>
      </c>
      <c r="C229" s="5">
        <f>PRRAS!K44</f>
        <v>727450</v>
      </c>
      <c r="D229" s="8">
        <v>0</v>
      </c>
      <c r="E229" s="8">
        <v>0</v>
      </c>
      <c r="F229" s="7">
        <f t="shared" si="8"/>
        <v>3401550.2399999993</v>
      </c>
      <c r="J229" s="8">
        <f t="shared" si="9"/>
        <v>0</v>
      </c>
    </row>
    <row r="230" spans="1:10" ht="12.75">
      <c r="A230" s="5">
        <f>202+PRRAS!I45</f>
        <v>229</v>
      </c>
      <c r="B230" s="5">
        <f>PRRAS!J45</f>
        <v>14568</v>
      </c>
      <c r="C230" s="5">
        <f>PRRAS!K45</f>
        <v>33147</v>
      </c>
      <c r="D230" s="8">
        <v>0</v>
      </c>
      <c r="E230" s="8">
        <v>0</v>
      </c>
      <c r="F230" s="7">
        <f t="shared" si="8"/>
        <v>185173.98</v>
      </c>
      <c r="J230" s="8">
        <f t="shared" si="9"/>
        <v>0</v>
      </c>
    </row>
    <row r="231" spans="1:10" ht="12.75">
      <c r="A231" s="5">
        <f>202+PRRAS!I46</f>
        <v>230</v>
      </c>
      <c r="B231" s="5">
        <f>PRRAS!J46</f>
        <v>711792</v>
      </c>
      <c r="C231" s="5">
        <f>PRRAS!K46</f>
        <v>403542</v>
      </c>
      <c r="D231" s="8">
        <v>0</v>
      </c>
      <c r="E231" s="8">
        <v>0</v>
      </c>
      <c r="F231" s="7">
        <f t="shared" si="8"/>
        <v>3493414.8</v>
      </c>
      <c r="J231" s="8">
        <f t="shared" si="9"/>
        <v>0</v>
      </c>
    </row>
    <row r="232" spans="1:10" ht="12.75">
      <c r="A232" s="5">
        <f>202+PRRAS!I47</f>
        <v>231</v>
      </c>
      <c r="B232" s="5">
        <f>PRRAS!J47</f>
        <v>107452</v>
      </c>
      <c r="C232" s="5">
        <f>PRRAS!K47</f>
        <v>11869</v>
      </c>
      <c r="D232" s="8">
        <v>0</v>
      </c>
      <c r="E232" s="8">
        <v>0</v>
      </c>
      <c r="F232" s="7">
        <f t="shared" si="8"/>
        <v>303048.9</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2678212</v>
      </c>
      <c r="C236" s="5">
        <f>PRRAS!K51</f>
        <v>902941</v>
      </c>
      <c r="D236" s="8">
        <v>0</v>
      </c>
      <c r="E236" s="8">
        <v>0</v>
      </c>
      <c r="F236" s="7">
        <f t="shared" si="8"/>
        <v>10537620.9</v>
      </c>
      <c r="J236" s="8">
        <f t="shared" si="9"/>
        <v>0</v>
      </c>
    </row>
    <row r="237" spans="1:10" ht="12.75">
      <c r="A237" s="5">
        <f>202+PRRAS!I52</f>
        <v>236</v>
      </c>
      <c r="B237" s="5">
        <f>PRRAS!J52</f>
        <v>2678212</v>
      </c>
      <c r="C237" s="5">
        <f>PRRAS!K52</f>
        <v>902941</v>
      </c>
      <c r="D237" s="8">
        <v>0</v>
      </c>
      <c r="E237" s="8">
        <v>0</v>
      </c>
      <c r="F237" s="7">
        <f t="shared" si="8"/>
        <v>10582461.84</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130263</v>
      </c>
      <c r="C239" s="5">
        <f>PRRAS!K54</f>
        <v>355306</v>
      </c>
      <c r="D239" s="8">
        <v>0</v>
      </c>
      <c r="E239" s="8">
        <v>0</v>
      </c>
      <c r="F239" s="7">
        <f t="shared" si="8"/>
        <v>2001282.4999999998</v>
      </c>
      <c r="J239" s="8">
        <f t="shared" si="9"/>
        <v>0</v>
      </c>
    </row>
    <row r="240" spans="1:10" ht="12.75">
      <c r="A240" s="5">
        <f>202+PRRAS!I55</f>
        <v>239</v>
      </c>
      <c r="B240" s="5">
        <f>PRRAS!J55</f>
        <v>14845</v>
      </c>
      <c r="C240" s="5">
        <f>PRRAS!K55</f>
        <v>25041</v>
      </c>
      <c r="D240" s="8">
        <v>0</v>
      </c>
      <c r="E240" s="8">
        <v>0</v>
      </c>
      <c r="F240" s="7">
        <f t="shared" si="8"/>
        <v>155175.53000000003</v>
      </c>
      <c r="J240" s="8">
        <f t="shared" si="9"/>
        <v>0</v>
      </c>
    </row>
    <row r="241" spans="1:10" ht="12.75">
      <c r="A241" s="5">
        <f>202+PRRAS!I56</f>
        <v>240</v>
      </c>
      <c r="B241" s="5">
        <f>PRRAS!J56</f>
        <v>6260</v>
      </c>
      <c r="C241" s="5">
        <f>PRRAS!K56</f>
        <v>25041</v>
      </c>
      <c r="D241" s="8">
        <v>0</v>
      </c>
      <c r="E241" s="8">
        <v>0</v>
      </c>
      <c r="F241" s="7">
        <f t="shared" si="8"/>
        <v>135220.8</v>
      </c>
      <c r="J241" s="8">
        <f t="shared" si="9"/>
        <v>0</v>
      </c>
    </row>
    <row r="242" spans="1:10" ht="12.75">
      <c r="A242" s="5">
        <f>202+PRRAS!I57</f>
        <v>241</v>
      </c>
      <c r="B242" s="5">
        <f>PRRAS!J57</f>
        <v>8585</v>
      </c>
      <c r="C242" s="5">
        <f>PRRAS!K57</f>
        <v>0</v>
      </c>
      <c r="D242" s="8">
        <v>0</v>
      </c>
      <c r="E242" s="8">
        <v>0</v>
      </c>
      <c r="F242" s="7">
        <f t="shared" si="8"/>
        <v>20689.850000000002</v>
      </c>
      <c r="J242" s="8">
        <f t="shared" si="9"/>
        <v>0</v>
      </c>
    </row>
    <row r="243" spans="1:10" ht="12.75">
      <c r="A243" s="5">
        <f>202+PRRAS!I58</f>
        <v>242</v>
      </c>
      <c r="B243" s="5">
        <f>PRRAS!J58</f>
        <v>9938</v>
      </c>
      <c r="C243" s="5">
        <f>PRRAS!K58</f>
        <v>1</v>
      </c>
      <c r="D243" s="8">
        <v>0</v>
      </c>
      <c r="E243" s="8">
        <v>0</v>
      </c>
      <c r="F243" s="7">
        <f t="shared" si="8"/>
        <v>24054.8</v>
      </c>
      <c r="J243" s="8">
        <f t="shared" si="9"/>
        <v>0</v>
      </c>
    </row>
    <row r="244" spans="1:10" ht="12.75">
      <c r="A244" s="5">
        <f>202+PRRAS!I59</f>
        <v>243</v>
      </c>
      <c r="B244" s="5">
        <f>PRRAS!J59</f>
        <v>3420</v>
      </c>
      <c r="C244" s="5">
        <f>PRRAS!K59</f>
        <v>0</v>
      </c>
      <c r="D244" s="8">
        <v>0</v>
      </c>
      <c r="E244" s="8">
        <v>0</v>
      </c>
      <c r="F244" s="7">
        <f t="shared" si="8"/>
        <v>8310.6</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3420</v>
      </c>
      <c r="C246" s="5">
        <f>PRRAS!K61</f>
        <v>0</v>
      </c>
      <c r="D246" s="8">
        <v>0</v>
      </c>
      <c r="E246" s="8">
        <v>0</v>
      </c>
      <c r="F246" s="7">
        <f t="shared" si="8"/>
        <v>8379</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6518</v>
      </c>
      <c r="C248" s="5">
        <f>PRRAS!K63</f>
        <v>1</v>
      </c>
      <c r="D248" s="8">
        <v>0</v>
      </c>
      <c r="E248" s="8">
        <v>0</v>
      </c>
      <c r="F248" s="7">
        <f t="shared" si="8"/>
        <v>16104.400000000001</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6518</v>
      </c>
      <c r="C251" s="5">
        <f>PRRAS!K66</f>
        <v>1</v>
      </c>
      <c r="D251" s="8">
        <v>0</v>
      </c>
      <c r="E251" s="8">
        <v>0</v>
      </c>
      <c r="F251" s="7">
        <f t="shared" si="8"/>
        <v>16300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3064523</v>
      </c>
      <c r="C257" s="5">
        <f>PRRAS!K73</f>
        <v>3121875</v>
      </c>
      <c r="D257" s="8">
        <v>0</v>
      </c>
      <c r="E257" s="8">
        <v>0</v>
      </c>
      <c r="F257" s="7">
        <f t="shared" si="8"/>
        <v>23829178.88</v>
      </c>
      <c r="J257" s="8">
        <f t="shared" si="9"/>
        <v>0</v>
      </c>
    </row>
    <row r="258" spans="1:10" ht="12.75">
      <c r="A258" s="5">
        <f>202+PRRAS!I74</f>
        <v>257</v>
      </c>
      <c r="B258" s="5">
        <f>PRRAS!J74</f>
        <v>776954</v>
      </c>
      <c r="C258" s="5">
        <f>PRRAS!K74</f>
        <v>966034</v>
      </c>
      <c r="D258" s="8">
        <v>0</v>
      </c>
      <c r="E258" s="8">
        <v>0</v>
      </c>
      <c r="F258" s="7">
        <f t="shared" si="8"/>
        <v>6962186.539999999</v>
      </c>
      <c r="J258" s="8">
        <f t="shared" si="9"/>
        <v>0</v>
      </c>
    </row>
    <row r="259" spans="1:10" ht="12.75">
      <c r="A259" s="5">
        <f>202+PRRAS!I75</f>
        <v>258</v>
      </c>
      <c r="B259" s="5">
        <f>PRRAS!J75</f>
        <v>485553</v>
      </c>
      <c r="C259" s="5">
        <f>PRRAS!K75</f>
        <v>619920</v>
      </c>
      <c r="D259" s="8">
        <v>0</v>
      </c>
      <c r="E259" s="8">
        <v>0</v>
      </c>
      <c r="F259" s="7">
        <f t="shared" si="8"/>
        <v>4451513.94</v>
      </c>
      <c r="J259" s="8">
        <f t="shared" si="9"/>
        <v>0</v>
      </c>
    </row>
    <row r="260" spans="1:10" ht="12.75">
      <c r="A260" s="5">
        <f>202+PRRAS!I76</f>
        <v>259</v>
      </c>
      <c r="B260" s="5">
        <f>PRRAS!J76</f>
        <v>485553</v>
      </c>
      <c r="C260" s="5">
        <f>PRRAS!K76</f>
        <v>596520</v>
      </c>
      <c r="D260" s="8">
        <v>0</v>
      </c>
      <c r="E260" s="8">
        <v>0</v>
      </c>
      <c r="F260" s="7">
        <f t="shared" si="8"/>
        <v>4347555.869999999</v>
      </c>
      <c r="J260" s="8">
        <f t="shared" si="9"/>
        <v>0</v>
      </c>
    </row>
    <row r="261" spans="1:10" ht="12.75">
      <c r="A261" s="5">
        <f>202+PRRAS!I77</f>
        <v>260</v>
      </c>
      <c r="B261" s="5">
        <f>PRRAS!J77</f>
        <v>0</v>
      </c>
      <c r="C261" s="5">
        <f>PRRAS!K77</f>
        <v>23400</v>
      </c>
      <c r="D261" s="8">
        <v>0</v>
      </c>
      <c r="E261" s="8">
        <v>0</v>
      </c>
      <c r="F261" s="7">
        <f t="shared" si="8"/>
        <v>121680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103132</v>
      </c>
      <c r="C264" s="5">
        <f>PRRAS!K80</f>
        <v>97942</v>
      </c>
      <c r="D264" s="8">
        <v>0</v>
      </c>
      <c r="E264" s="8">
        <v>0</v>
      </c>
      <c r="F264" s="7">
        <f t="shared" si="8"/>
        <v>786412.08</v>
      </c>
      <c r="J264" s="8">
        <f t="shared" si="9"/>
        <v>0</v>
      </c>
    </row>
    <row r="265" spans="1:10" ht="12.75">
      <c r="A265" s="5">
        <f>202+PRRAS!I81</f>
        <v>264</v>
      </c>
      <c r="B265" s="5">
        <f>PRRAS!J81</f>
        <v>188269</v>
      </c>
      <c r="C265" s="5">
        <f>PRRAS!K81</f>
        <v>248172</v>
      </c>
      <c r="D265" s="8">
        <v>0</v>
      </c>
      <c r="E265" s="8">
        <v>0</v>
      </c>
      <c r="F265" s="7">
        <f t="shared" si="8"/>
        <v>1807378.3200000003</v>
      </c>
      <c r="J265" s="8">
        <f t="shared" si="9"/>
        <v>0</v>
      </c>
    </row>
    <row r="266" spans="1:10" ht="12.75">
      <c r="A266" s="5">
        <f>202+PRRAS!I82</f>
        <v>265</v>
      </c>
      <c r="B266" s="5">
        <f>PRRAS!J82</f>
        <v>48754</v>
      </c>
      <c r="C266" s="5">
        <f>PRRAS!K82</f>
        <v>77966</v>
      </c>
      <c r="D266" s="8">
        <v>0</v>
      </c>
      <c r="E266" s="8">
        <v>0</v>
      </c>
      <c r="F266" s="7">
        <f t="shared" si="8"/>
        <v>542417.9</v>
      </c>
      <c r="J266" s="8">
        <f t="shared" si="9"/>
        <v>0</v>
      </c>
    </row>
    <row r="267" spans="1:10" ht="12.75">
      <c r="A267" s="5">
        <f>202+PRRAS!I83</f>
        <v>266</v>
      </c>
      <c r="B267" s="5">
        <f>PRRAS!J83</f>
        <v>5132</v>
      </c>
      <c r="C267" s="5">
        <f>PRRAS!K83</f>
        <v>0</v>
      </c>
      <c r="D267" s="8">
        <v>0</v>
      </c>
      <c r="E267" s="8">
        <v>0</v>
      </c>
      <c r="F267" s="7">
        <f t="shared" si="8"/>
        <v>13651.12</v>
      </c>
      <c r="J267" s="8">
        <f t="shared" si="9"/>
        <v>0</v>
      </c>
    </row>
    <row r="268" spans="1:10" ht="12.75">
      <c r="A268" s="5">
        <f>202+PRRAS!I84</f>
        <v>267</v>
      </c>
      <c r="B268" s="5">
        <f>PRRAS!J84</f>
        <v>134383</v>
      </c>
      <c r="C268" s="5">
        <f>PRRAS!K84</f>
        <v>170206</v>
      </c>
      <c r="D268" s="8">
        <v>0</v>
      </c>
      <c r="E268" s="8">
        <v>0</v>
      </c>
      <c r="F268" s="7">
        <f t="shared" si="8"/>
        <v>1267702.65</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1200616</v>
      </c>
      <c r="C270" s="5">
        <f>PRRAS!K86</f>
        <v>1071364</v>
      </c>
      <c r="D270" s="8">
        <v>0</v>
      </c>
      <c r="E270" s="8">
        <v>0</v>
      </c>
      <c r="F270" s="7">
        <f t="shared" si="10"/>
        <v>8993595.36</v>
      </c>
      <c r="J270" s="8">
        <f t="shared" si="11"/>
        <v>0</v>
      </c>
    </row>
    <row r="271" spans="1:10" ht="12.75">
      <c r="A271" s="5">
        <f>202+PRRAS!I87</f>
        <v>270</v>
      </c>
      <c r="B271" s="5">
        <f>PRRAS!J87</f>
        <v>118019</v>
      </c>
      <c r="C271" s="5">
        <f>PRRAS!K87</f>
        <v>323967</v>
      </c>
      <c r="D271" s="8">
        <v>0</v>
      </c>
      <c r="E271" s="8">
        <v>0</v>
      </c>
      <c r="F271" s="7">
        <f t="shared" si="10"/>
        <v>2068073.1</v>
      </c>
      <c r="J271" s="8">
        <f t="shared" si="11"/>
        <v>0</v>
      </c>
    </row>
    <row r="272" spans="1:10" ht="12.75">
      <c r="A272" s="5">
        <f>202+PRRAS!I88</f>
        <v>271</v>
      </c>
      <c r="B272" s="5">
        <f>PRRAS!J88</f>
        <v>54528</v>
      </c>
      <c r="C272" s="5">
        <f>PRRAS!K88</f>
        <v>247923</v>
      </c>
      <c r="D272" s="8">
        <v>0</v>
      </c>
      <c r="E272" s="8">
        <v>0</v>
      </c>
      <c r="F272" s="7">
        <f t="shared" si="10"/>
        <v>1491513.54</v>
      </c>
      <c r="J272" s="8">
        <f t="shared" si="11"/>
        <v>0</v>
      </c>
    </row>
    <row r="273" spans="1:10" ht="12.75">
      <c r="A273" s="5">
        <f>202+PRRAS!I89</f>
        <v>272</v>
      </c>
      <c r="B273" s="5">
        <f>PRRAS!J89</f>
        <v>63491</v>
      </c>
      <c r="C273" s="5">
        <f>PRRAS!K89</f>
        <v>74909</v>
      </c>
      <c r="D273" s="8">
        <v>0</v>
      </c>
      <c r="E273" s="8">
        <v>0</v>
      </c>
      <c r="F273" s="7">
        <f t="shared" si="10"/>
        <v>580200.48</v>
      </c>
      <c r="J273" s="8">
        <f t="shared" si="11"/>
        <v>0</v>
      </c>
    </row>
    <row r="274" spans="1:10" ht="12.75">
      <c r="A274" s="5">
        <f>202+PRRAS!I90</f>
        <v>273</v>
      </c>
      <c r="B274" s="5">
        <f>PRRAS!J90</f>
        <v>0</v>
      </c>
      <c r="C274" s="5">
        <f>PRRAS!K90</f>
        <v>1135</v>
      </c>
      <c r="D274" s="8">
        <v>0</v>
      </c>
      <c r="E274" s="8">
        <v>0</v>
      </c>
      <c r="F274" s="7">
        <f t="shared" si="10"/>
        <v>6197.1</v>
      </c>
      <c r="J274" s="8">
        <f t="shared" si="11"/>
        <v>0</v>
      </c>
    </row>
    <row r="275" spans="1:10" ht="12.75">
      <c r="A275" s="5">
        <f>202+PRRAS!I91</f>
        <v>274</v>
      </c>
      <c r="B275" s="5">
        <f>PRRAS!J91</f>
        <v>0</v>
      </c>
      <c r="C275" s="5">
        <f>PRRAS!K91</f>
        <v>250049</v>
      </c>
      <c r="D275" s="8">
        <v>0</v>
      </c>
      <c r="E275" s="8">
        <v>0</v>
      </c>
      <c r="F275" s="7">
        <f t="shared" si="10"/>
        <v>1370268.52</v>
      </c>
      <c r="J275" s="8">
        <f t="shared" si="11"/>
        <v>0</v>
      </c>
    </row>
    <row r="276" spans="1:10" ht="12.75">
      <c r="A276" s="5">
        <f>202+PRRAS!I92</f>
        <v>275</v>
      </c>
      <c r="B276" s="5">
        <f>PRRAS!J92</f>
        <v>0</v>
      </c>
      <c r="C276" s="5">
        <f>PRRAS!K92</f>
        <v>97659</v>
      </c>
      <c r="D276" s="8">
        <v>0</v>
      </c>
      <c r="E276" s="8">
        <v>0</v>
      </c>
      <c r="F276" s="7">
        <f t="shared" si="10"/>
        <v>537124.5</v>
      </c>
      <c r="J276" s="8">
        <f t="shared" si="11"/>
        <v>0</v>
      </c>
    </row>
    <row r="277" spans="1:10" ht="12.75">
      <c r="A277" s="5">
        <f>202+PRRAS!I93</f>
        <v>276</v>
      </c>
      <c r="B277" s="5">
        <f>PRRAS!J93</f>
        <v>0</v>
      </c>
      <c r="C277" s="5">
        <f>PRRAS!K93</f>
        <v>19532</v>
      </c>
      <c r="D277" s="8">
        <v>0</v>
      </c>
      <c r="E277" s="8">
        <v>0</v>
      </c>
      <c r="F277" s="7">
        <f t="shared" si="10"/>
        <v>107816.63999999998</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132858</v>
      </c>
      <c r="D279" s="8">
        <v>0</v>
      </c>
      <c r="E279" s="8">
        <v>0</v>
      </c>
      <c r="F279" s="7">
        <f t="shared" si="10"/>
        <v>738690.48</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481637</v>
      </c>
      <c r="C285" s="5">
        <f>PRRAS!K101</f>
        <v>49700</v>
      </c>
      <c r="D285" s="8">
        <v>0</v>
      </c>
      <c r="E285" s="8">
        <v>0</v>
      </c>
      <c r="F285" s="7">
        <f t="shared" si="10"/>
        <v>1650145.0799999998</v>
      </c>
      <c r="J285" s="8">
        <f t="shared" si="11"/>
        <v>0</v>
      </c>
    </row>
    <row r="286" spans="1:10" ht="12.75">
      <c r="A286" s="5">
        <f>202+PRRAS!I102</f>
        <v>285</v>
      </c>
      <c r="B286" s="5">
        <f>PRRAS!J102</f>
        <v>332719</v>
      </c>
      <c r="C286" s="5">
        <f>PRRAS!K102</f>
        <v>49700</v>
      </c>
      <c r="D286" s="8">
        <v>0</v>
      </c>
      <c r="E286" s="8">
        <v>0</v>
      </c>
      <c r="F286" s="7">
        <f t="shared" si="10"/>
        <v>1231539.15</v>
      </c>
      <c r="J286" s="8">
        <f t="shared" si="11"/>
        <v>0</v>
      </c>
    </row>
    <row r="287" spans="1:10" ht="12.75">
      <c r="A287" s="5">
        <f>202+PRRAS!I103</f>
        <v>286</v>
      </c>
      <c r="B287" s="5">
        <f>PRRAS!J103</f>
        <v>148523</v>
      </c>
      <c r="C287" s="5">
        <f>PRRAS!K103</f>
        <v>0</v>
      </c>
      <c r="D287" s="8">
        <v>0</v>
      </c>
      <c r="E287" s="8">
        <v>0</v>
      </c>
      <c r="F287" s="7">
        <f t="shared" si="10"/>
        <v>424775.77999999997</v>
      </c>
      <c r="J287" s="8">
        <f t="shared" si="11"/>
        <v>0</v>
      </c>
    </row>
    <row r="288" spans="1:10" ht="12.75">
      <c r="A288" s="5">
        <f>202+PRRAS!I104</f>
        <v>287</v>
      </c>
      <c r="B288" s="5">
        <f>PRRAS!J104</f>
        <v>395</v>
      </c>
      <c r="C288" s="5">
        <f>PRRAS!K104</f>
        <v>0</v>
      </c>
      <c r="D288" s="8">
        <v>0</v>
      </c>
      <c r="E288" s="8">
        <v>0</v>
      </c>
      <c r="F288" s="7">
        <f t="shared" si="10"/>
        <v>1133.65</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369416</v>
      </c>
      <c r="C290" s="5">
        <f>PRRAS!K106</f>
        <v>343781</v>
      </c>
      <c r="D290" s="8">
        <v>0</v>
      </c>
      <c r="E290" s="8">
        <v>0</v>
      </c>
      <c r="F290" s="7">
        <f t="shared" si="10"/>
        <v>3054666.42</v>
      </c>
      <c r="J290" s="8">
        <f t="shared" si="11"/>
        <v>0</v>
      </c>
    </row>
    <row r="291" spans="1:10" ht="12.75">
      <c r="A291" s="5">
        <f>202+PRRAS!I107</f>
        <v>290</v>
      </c>
      <c r="B291" s="5">
        <f>PRRAS!J107</f>
        <v>37287</v>
      </c>
      <c r="C291" s="5">
        <f>PRRAS!K107</f>
        <v>70328</v>
      </c>
      <c r="D291" s="8">
        <v>0</v>
      </c>
      <c r="E291" s="8">
        <v>0</v>
      </c>
      <c r="F291" s="7">
        <f t="shared" si="10"/>
        <v>516034.69999999995</v>
      </c>
      <c r="J291" s="8">
        <f t="shared" si="11"/>
        <v>0</v>
      </c>
    </row>
    <row r="292" spans="1:10" ht="12.75">
      <c r="A292" s="5">
        <f>202+PRRAS!I108</f>
        <v>291</v>
      </c>
      <c r="B292" s="5">
        <f>PRRAS!J108</f>
        <v>7821</v>
      </c>
      <c r="C292" s="5">
        <f>PRRAS!K108</f>
        <v>0</v>
      </c>
      <c r="D292" s="8">
        <v>0</v>
      </c>
      <c r="E292" s="8">
        <v>0</v>
      </c>
      <c r="F292" s="7">
        <f t="shared" si="10"/>
        <v>22759.11</v>
      </c>
      <c r="J292" s="8">
        <f t="shared" si="11"/>
        <v>0</v>
      </c>
    </row>
    <row r="293" spans="1:10" ht="12.75">
      <c r="A293" s="5">
        <f>202+PRRAS!I109</f>
        <v>292</v>
      </c>
      <c r="B293" s="5">
        <f>PRRAS!J109</f>
        <v>73836</v>
      </c>
      <c r="C293" s="5">
        <f>PRRAS!K109</f>
        <v>4033</v>
      </c>
      <c r="D293" s="8">
        <v>0</v>
      </c>
      <c r="E293" s="8">
        <v>0</v>
      </c>
      <c r="F293" s="7">
        <f t="shared" si="10"/>
        <v>239153.84</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48352</v>
      </c>
      <c r="C295" s="5">
        <f>PRRAS!K111</f>
        <v>51757</v>
      </c>
      <c r="D295" s="8">
        <v>0</v>
      </c>
      <c r="E295" s="8">
        <v>0</v>
      </c>
      <c r="F295" s="7">
        <f t="shared" si="10"/>
        <v>446486.04</v>
      </c>
      <c r="J295" s="8">
        <f t="shared" si="11"/>
        <v>0</v>
      </c>
    </row>
    <row r="296" spans="1:10" ht="12.75">
      <c r="A296" s="5">
        <f>202+PRRAS!I112</f>
        <v>295</v>
      </c>
      <c r="B296" s="5">
        <f>PRRAS!J112</f>
        <v>1210</v>
      </c>
      <c r="C296" s="5">
        <f>PRRAS!K112</f>
        <v>110</v>
      </c>
      <c r="D296" s="8">
        <v>0</v>
      </c>
      <c r="E296" s="8">
        <v>0</v>
      </c>
      <c r="F296" s="7">
        <f t="shared" si="10"/>
        <v>4218.5</v>
      </c>
      <c r="J296" s="8">
        <f t="shared" si="11"/>
        <v>0</v>
      </c>
    </row>
    <row r="297" spans="1:10" ht="12.75">
      <c r="A297" s="5">
        <f>202+PRRAS!I113</f>
        <v>296</v>
      </c>
      <c r="B297" s="5">
        <f>PRRAS!J113</f>
        <v>87455</v>
      </c>
      <c r="C297" s="5">
        <f>PRRAS!K113</f>
        <v>122037</v>
      </c>
      <c r="D297" s="8">
        <v>0</v>
      </c>
      <c r="E297" s="8">
        <v>0</v>
      </c>
      <c r="F297" s="7">
        <f t="shared" si="10"/>
        <v>981325.8400000001</v>
      </c>
      <c r="J297" s="8">
        <f t="shared" si="11"/>
        <v>0</v>
      </c>
    </row>
    <row r="298" spans="1:10" ht="12.75">
      <c r="A298" s="5">
        <f>202+PRRAS!I114</f>
        <v>297</v>
      </c>
      <c r="B298" s="5">
        <f>PRRAS!J114</f>
        <v>5177</v>
      </c>
      <c r="C298" s="5">
        <f>PRRAS!K114</f>
        <v>4355</v>
      </c>
      <c r="D298" s="8">
        <v>0</v>
      </c>
      <c r="E298" s="8">
        <v>0</v>
      </c>
      <c r="F298" s="7">
        <f t="shared" si="10"/>
        <v>41244.39</v>
      </c>
      <c r="J298" s="8">
        <f t="shared" si="11"/>
        <v>0</v>
      </c>
    </row>
    <row r="299" spans="1:10" ht="12.75">
      <c r="A299" s="5">
        <f>202+PRRAS!I115</f>
        <v>298</v>
      </c>
      <c r="B299" s="5">
        <f>PRRAS!J115</f>
        <v>108278</v>
      </c>
      <c r="C299" s="5">
        <f>PRRAS!K115</f>
        <v>91161</v>
      </c>
      <c r="D299" s="8">
        <v>0</v>
      </c>
      <c r="E299" s="8">
        <v>0</v>
      </c>
      <c r="F299" s="7">
        <f t="shared" si="10"/>
        <v>865988</v>
      </c>
      <c r="J299" s="8">
        <f t="shared" si="11"/>
        <v>0</v>
      </c>
    </row>
    <row r="300" spans="1:10" ht="12.75">
      <c r="A300" s="5">
        <f>202+PRRAS!I116</f>
        <v>299</v>
      </c>
      <c r="B300" s="5">
        <f>PRRAS!J116</f>
        <v>130798</v>
      </c>
      <c r="C300" s="5">
        <f>PRRAS!K116</f>
        <v>55866</v>
      </c>
      <c r="D300" s="8">
        <v>0</v>
      </c>
      <c r="E300" s="8">
        <v>0</v>
      </c>
      <c r="F300" s="7">
        <f t="shared" si="10"/>
        <v>725164.7000000001</v>
      </c>
      <c r="J300" s="8">
        <f t="shared" si="11"/>
        <v>0</v>
      </c>
    </row>
    <row r="301" spans="1:10" ht="12.75">
      <c r="A301" s="5">
        <f>202+PRRAS!I117</f>
        <v>300</v>
      </c>
      <c r="B301" s="5">
        <f>PRRAS!J117</f>
        <v>21239</v>
      </c>
      <c r="C301" s="5">
        <f>PRRAS!K117</f>
        <v>27943</v>
      </c>
      <c r="D301" s="8">
        <v>0</v>
      </c>
      <c r="E301" s="8">
        <v>0</v>
      </c>
      <c r="F301" s="7">
        <f t="shared" si="10"/>
        <v>231375</v>
      </c>
      <c r="J301" s="8">
        <f t="shared" si="11"/>
        <v>0</v>
      </c>
    </row>
    <row r="302" spans="1:10" ht="12.75">
      <c r="A302" s="5">
        <f>202+PRRAS!I118</f>
        <v>301</v>
      </c>
      <c r="B302" s="5">
        <f>PRRAS!J118</f>
        <v>2000</v>
      </c>
      <c r="C302" s="5">
        <f>PRRAS!K118</f>
        <v>0</v>
      </c>
      <c r="D302" s="8">
        <v>0</v>
      </c>
      <c r="E302" s="8">
        <v>0</v>
      </c>
      <c r="F302" s="7">
        <f t="shared" si="10"/>
        <v>6020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107559</v>
      </c>
      <c r="C304" s="5">
        <f>PRRAS!K120</f>
        <v>27923</v>
      </c>
      <c r="D304" s="8">
        <v>0</v>
      </c>
      <c r="E304" s="8">
        <v>0</v>
      </c>
      <c r="F304" s="7">
        <f t="shared" si="10"/>
        <v>495117.1499999999</v>
      </c>
      <c r="J304" s="8">
        <f t="shared" si="11"/>
        <v>0</v>
      </c>
    </row>
    <row r="305" spans="1:10" ht="12.75">
      <c r="A305" s="5">
        <f>202+PRRAS!I121</f>
        <v>304</v>
      </c>
      <c r="B305" s="5">
        <f>PRRAS!J121</f>
        <v>100746</v>
      </c>
      <c r="C305" s="5">
        <f>PRRAS!K121</f>
        <v>48001</v>
      </c>
      <c r="D305" s="8">
        <v>0</v>
      </c>
      <c r="E305" s="8">
        <v>0</v>
      </c>
      <c r="F305" s="7">
        <f t="shared" si="10"/>
        <v>598113.92</v>
      </c>
      <c r="J305" s="8">
        <f t="shared" si="11"/>
        <v>0</v>
      </c>
    </row>
    <row r="306" spans="1:10" ht="12.75">
      <c r="A306" s="5">
        <f>202+PRRAS!I122</f>
        <v>305</v>
      </c>
      <c r="B306" s="5">
        <f>PRRAS!J122</f>
        <v>0</v>
      </c>
      <c r="C306" s="5">
        <f>PRRAS!K122</f>
        <v>4767</v>
      </c>
      <c r="D306" s="8">
        <v>0</v>
      </c>
      <c r="E306" s="8">
        <v>0</v>
      </c>
      <c r="F306" s="7">
        <f t="shared" si="10"/>
        <v>29078.699999999997</v>
      </c>
      <c r="J306" s="8">
        <f t="shared" si="11"/>
        <v>0</v>
      </c>
    </row>
    <row r="307" spans="1:10" ht="12.75">
      <c r="A307" s="5">
        <f>202+PRRAS!I123</f>
        <v>306</v>
      </c>
      <c r="B307" s="5">
        <f>PRRAS!J123</f>
        <v>76015</v>
      </c>
      <c r="C307" s="5">
        <f>PRRAS!K123</f>
        <v>41634</v>
      </c>
      <c r="D307" s="8">
        <v>0</v>
      </c>
      <c r="E307" s="8">
        <v>0</v>
      </c>
      <c r="F307" s="7">
        <f t="shared" si="10"/>
        <v>487405.98</v>
      </c>
      <c r="J307" s="8">
        <f t="shared" si="11"/>
        <v>0</v>
      </c>
    </row>
    <row r="308" spans="1:10" ht="12.75">
      <c r="A308" s="5">
        <f>202+PRRAS!I124</f>
        <v>307</v>
      </c>
      <c r="B308" s="5">
        <f>PRRAS!J124</f>
        <v>4467</v>
      </c>
      <c r="C308" s="5">
        <f>PRRAS!K124</f>
        <v>0</v>
      </c>
      <c r="D308" s="8">
        <v>0</v>
      </c>
      <c r="E308" s="8">
        <v>0</v>
      </c>
      <c r="F308" s="7">
        <f t="shared" si="10"/>
        <v>13713.689999999999</v>
      </c>
      <c r="J308" s="8">
        <f t="shared" si="11"/>
        <v>0</v>
      </c>
    </row>
    <row r="309" spans="1:10" ht="12.75">
      <c r="A309" s="5">
        <f>202+PRRAS!I125</f>
        <v>308</v>
      </c>
      <c r="B309" s="5">
        <f>PRRAS!J125</f>
        <v>0</v>
      </c>
      <c r="C309" s="5">
        <f>PRRAS!K125</f>
        <v>1250</v>
      </c>
      <c r="D309" s="8">
        <v>0</v>
      </c>
      <c r="E309" s="8">
        <v>0</v>
      </c>
      <c r="F309" s="7">
        <f t="shared" si="10"/>
        <v>7700</v>
      </c>
      <c r="J309" s="8">
        <f t="shared" si="11"/>
        <v>0</v>
      </c>
    </row>
    <row r="310" spans="1:10" ht="12.75">
      <c r="A310" s="5">
        <f>202+PRRAS!I126</f>
        <v>309</v>
      </c>
      <c r="B310" s="5">
        <f>PRRAS!J126</f>
        <v>20264</v>
      </c>
      <c r="C310" s="5">
        <f>PRRAS!K126</f>
        <v>350</v>
      </c>
      <c r="D310" s="8">
        <v>0</v>
      </c>
      <c r="E310" s="8">
        <v>0</v>
      </c>
      <c r="F310" s="7">
        <f t="shared" si="10"/>
        <v>64778.759999999995</v>
      </c>
      <c r="J310" s="8">
        <f t="shared" si="11"/>
        <v>0</v>
      </c>
    </row>
    <row r="311" spans="1:10" ht="12.75">
      <c r="A311" s="5">
        <f>202+PRRAS!I127</f>
        <v>310</v>
      </c>
      <c r="B311" s="5">
        <f>PRRAS!J127</f>
        <v>17098</v>
      </c>
      <c r="C311" s="5">
        <f>PRRAS!K127</f>
        <v>17998</v>
      </c>
      <c r="D311" s="8">
        <v>0</v>
      </c>
      <c r="E311" s="8">
        <v>0</v>
      </c>
      <c r="F311" s="7">
        <f t="shared" si="10"/>
        <v>164591.40000000002</v>
      </c>
      <c r="J311" s="8">
        <f t="shared" si="11"/>
        <v>0</v>
      </c>
    </row>
    <row r="312" spans="1:10" ht="12.75">
      <c r="A312" s="5">
        <f>202+PRRAS!I128</f>
        <v>311</v>
      </c>
      <c r="B312" s="5">
        <f>PRRAS!J128</f>
        <v>14588</v>
      </c>
      <c r="C312" s="5">
        <f>PRRAS!K128</f>
        <v>12975</v>
      </c>
      <c r="D312" s="8">
        <v>0</v>
      </c>
      <c r="E312" s="8">
        <v>0</v>
      </c>
      <c r="F312" s="7">
        <f t="shared" si="10"/>
        <v>126073.18</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14588</v>
      </c>
      <c r="C318" s="5">
        <f>PRRAS!K134</f>
        <v>12975</v>
      </c>
      <c r="D318" s="8">
        <v>0</v>
      </c>
      <c r="E318" s="8">
        <v>0</v>
      </c>
      <c r="F318" s="7">
        <f t="shared" si="10"/>
        <v>128505.45999999999</v>
      </c>
      <c r="J318" s="8">
        <f t="shared" si="11"/>
        <v>0</v>
      </c>
    </row>
    <row r="319" spans="1:10" ht="12.75">
      <c r="A319" s="5">
        <f>202+PRRAS!I135</f>
        <v>318</v>
      </c>
      <c r="B319" s="5">
        <f>PRRAS!J135</f>
        <v>7010</v>
      </c>
      <c r="C319" s="5">
        <f>PRRAS!K135</f>
        <v>8039</v>
      </c>
      <c r="D319" s="8">
        <v>0</v>
      </c>
      <c r="E319" s="8">
        <v>0</v>
      </c>
      <c r="F319" s="7">
        <f t="shared" si="10"/>
        <v>73419.84</v>
      </c>
      <c r="J319" s="8">
        <f t="shared" si="11"/>
        <v>0</v>
      </c>
    </row>
    <row r="320" spans="1:10" ht="12.75">
      <c r="A320" s="5">
        <f>202+PRRAS!I136</f>
        <v>319</v>
      </c>
      <c r="B320" s="5">
        <f>PRRAS!J136</f>
        <v>7440</v>
      </c>
      <c r="C320" s="5">
        <f>PRRAS!K136</f>
        <v>4936</v>
      </c>
      <c r="D320" s="8">
        <v>0</v>
      </c>
      <c r="E320" s="8">
        <v>0</v>
      </c>
      <c r="F320" s="7">
        <f t="shared" si="10"/>
        <v>55225.28</v>
      </c>
      <c r="J320" s="8">
        <f t="shared" si="11"/>
        <v>0</v>
      </c>
    </row>
    <row r="321" spans="1:10" ht="12.75">
      <c r="A321" s="5">
        <f>202+PRRAS!I137</f>
        <v>320</v>
      </c>
      <c r="B321" s="5">
        <f>PRRAS!J137</f>
        <v>138</v>
      </c>
      <c r="C321" s="5">
        <f>PRRAS!K137</f>
        <v>0</v>
      </c>
      <c r="D321" s="8">
        <v>0</v>
      </c>
      <c r="E321" s="8">
        <v>0</v>
      </c>
      <c r="F321" s="7">
        <f t="shared" si="10"/>
        <v>441.6</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1055267</v>
      </c>
      <c r="C323" s="5">
        <f>PRRAS!K139</f>
        <v>972908</v>
      </c>
      <c r="D323" s="8">
        <v>0</v>
      </c>
      <c r="E323" s="8">
        <v>0</v>
      </c>
      <c r="F323" s="7">
        <f t="shared" si="10"/>
        <v>9663487.260000002</v>
      </c>
      <c r="J323" s="8">
        <f t="shared" si="11"/>
        <v>0</v>
      </c>
    </row>
    <row r="324" spans="1:10" ht="12.75">
      <c r="A324" s="5">
        <f>202+PRRAS!I140</f>
        <v>323</v>
      </c>
      <c r="B324" s="5">
        <f>PRRAS!J140</f>
        <v>1000</v>
      </c>
      <c r="C324" s="5">
        <f>PRRAS!K140</f>
        <v>333137</v>
      </c>
      <c r="D324" s="8">
        <v>0</v>
      </c>
      <c r="E324" s="8">
        <v>0</v>
      </c>
      <c r="F324" s="7">
        <f t="shared" si="10"/>
        <v>2155295.02</v>
      </c>
      <c r="J324" s="8">
        <f t="shared" si="11"/>
        <v>0</v>
      </c>
    </row>
    <row r="325" spans="1:10" ht="12.75">
      <c r="A325" s="5">
        <f>202+PRRAS!I141</f>
        <v>324</v>
      </c>
      <c r="B325" s="5">
        <f>PRRAS!J141</f>
        <v>1000</v>
      </c>
      <c r="C325" s="5">
        <f>PRRAS!K141</f>
        <v>161768</v>
      </c>
      <c r="D325" s="8">
        <v>0</v>
      </c>
      <c r="E325" s="8">
        <v>0</v>
      </c>
      <c r="F325" s="7">
        <f t="shared" si="10"/>
        <v>1051496.6400000001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171369</v>
      </c>
      <c r="D327" s="8">
        <v>0</v>
      </c>
      <c r="E327" s="8">
        <v>0</v>
      </c>
      <c r="F327" s="7">
        <f t="shared" si="10"/>
        <v>1117325.88</v>
      </c>
      <c r="J327" s="8">
        <f t="shared" si="11"/>
        <v>0</v>
      </c>
    </row>
    <row r="328" spans="1:10" ht="12.75">
      <c r="A328" s="5">
        <f>202+PRRAS!I144</f>
        <v>327</v>
      </c>
      <c r="B328" s="5">
        <f>PRRAS!J144</f>
        <v>1054267</v>
      </c>
      <c r="C328" s="5">
        <f>PRRAS!K144</f>
        <v>639771</v>
      </c>
      <c r="D328" s="8">
        <v>0</v>
      </c>
      <c r="E328" s="8">
        <v>0</v>
      </c>
      <c r="F328" s="7">
        <f t="shared" si="10"/>
        <v>7631555.43</v>
      </c>
      <c r="J328" s="8">
        <f t="shared" si="11"/>
        <v>0</v>
      </c>
    </row>
    <row r="329" spans="1:10" ht="12.75">
      <c r="A329" s="5">
        <f>202+PRRAS!I145</f>
        <v>328</v>
      </c>
      <c r="B329" s="5">
        <f>PRRAS!J145</f>
        <v>1005517</v>
      </c>
      <c r="C329" s="5">
        <f>PRRAS!K145</f>
        <v>639771</v>
      </c>
      <c r="D329" s="8">
        <v>0</v>
      </c>
      <c r="E329" s="8">
        <v>0</v>
      </c>
      <c r="F329" s="7">
        <f t="shared" si="10"/>
        <v>7494993.52</v>
      </c>
      <c r="J329" s="8">
        <f t="shared" si="11"/>
        <v>0</v>
      </c>
    </row>
    <row r="330" spans="1:10" ht="12.75">
      <c r="A330" s="5">
        <f>202+PRRAS!I146</f>
        <v>329</v>
      </c>
      <c r="B330" s="5">
        <f>PRRAS!J146</f>
        <v>48750</v>
      </c>
      <c r="C330" s="5">
        <f>PRRAS!K146</f>
        <v>0</v>
      </c>
      <c r="D330" s="8">
        <v>0</v>
      </c>
      <c r="E330" s="8">
        <v>0</v>
      </c>
      <c r="F330" s="7">
        <f t="shared" si="10"/>
        <v>160387.5</v>
      </c>
      <c r="J330" s="8">
        <f t="shared" si="11"/>
        <v>0</v>
      </c>
    </row>
    <row r="331" spans="1:10" ht="12.75">
      <c r="A331" s="5">
        <f>202+PRRAS!I147</f>
        <v>330</v>
      </c>
      <c r="B331" s="5">
        <f>PRRAS!J147</f>
        <v>0</v>
      </c>
      <c r="C331" s="5">
        <f>PRRAS!K147</f>
        <v>80596</v>
      </c>
      <c r="D331" s="8">
        <v>0</v>
      </c>
      <c r="E331" s="8">
        <v>0</v>
      </c>
      <c r="F331" s="7">
        <f t="shared" si="10"/>
        <v>531933.6</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80596</v>
      </c>
      <c r="D337" s="8">
        <v>0</v>
      </c>
      <c r="E337" s="8">
        <v>0</v>
      </c>
      <c r="F337" s="7">
        <f t="shared" si="12"/>
        <v>541605.12</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80596</v>
      </c>
      <c r="D341" s="8">
        <v>0</v>
      </c>
      <c r="E341" s="8">
        <v>0</v>
      </c>
      <c r="F341" s="7">
        <f t="shared" si="12"/>
        <v>548052.7999999999</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3064523</v>
      </c>
      <c r="C351" s="5">
        <f>PRRAS!K167</f>
        <v>3121875</v>
      </c>
      <c r="D351" s="8">
        <v>0</v>
      </c>
      <c r="E351" s="8">
        <v>0</v>
      </c>
      <c r="F351" s="7">
        <f t="shared" si="12"/>
        <v>32578955.5</v>
      </c>
      <c r="J351" s="8">
        <f t="shared" si="13"/>
        <v>0</v>
      </c>
    </row>
    <row r="352" spans="1:10" ht="12.75">
      <c r="A352" s="5">
        <f>202+PRRAS!I168</f>
        <v>351</v>
      </c>
      <c r="B352" s="5">
        <f>PRRAS!J168</f>
        <v>641263</v>
      </c>
      <c r="C352" s="5">
        <f>PRRAS!K168</f>
        <v>0</v>
      </c>
      <c r="D352" s="8">
        <v>0</v>
      </c>
      <c r="E352" s="8">
        <v>0</v>
      </c>
      <c r="F352" s="7">
        <f t="shared" si="12"/>
        <v>2250833.13</v>
      </c>
      <c r="J352" s="8">
        <f t="shared" si="13"/>
        <v>0</v>
      </c>
    </row>
    <row r="353" spans="1:10" ht="12.75">
      <c r="A353" s="5">
        <f>202+PRRAS!I169</f>
        <v>352</v>
      </c>
      <c r="B353" s="5">
        <f>PRRAS!J169</f>
        <v>0</v>
      </c>
      <c r="C353" s="5">
        <f>PRRAS!K169</f>
        <v>637389</v>
      </c>
      <c r="D353" s="8">
        <v>0</v>
      </c>
      <c r="E353" s="8">
        <v>0</v>
      </c>
      <c r="F353" s="7">
        <f t="shared" si="12"/>
        <v>4487218.56</v>
      </c>
      <c r="J353" s="8">
        <f t="shared" si="13"/>
        <v>0</v>
      </c>
    </row>
    <row r="354" spans="1:10" ht="12.75">
      <c r="A354" s="5">
        <f>202+PRRAS!I170</f>
        <v>353</v>
      </c>
      <c r="B354" s="5">
        <f>PRRAS!J170</f>
        <v>1510869</v>
      </c>
      <c r="C354" s="5">
        <f>PRRAS!K170</f>
        <v>2152131</v>
      </c>
      <c r="D354" s="8">
        <v>0</v>
      </c>
      <c r="E354" s="8">
        <v>0</v>
      </c>
      <c r="F354" s="7">
        <f t="shared" si="12"/>
        <v>20527412.43</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2152132</v>
      </c>
      <c r="C357" s="5">
        <f>PRRAS!K173</f>
        <v>1514742</v>
      </c>
      <c r="D357" s="8">
        <v>0</v>
      </c>
      <c r="E357" s="8">
        <v>0</v>
      </c>
      <c r="F357" s="7">
        <f t="shared" si="12"/>
        <v>18446552.96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679733</v>
      </c>
      <c r="C359" s="5">
        <f>PRRAS!K176</f>
        <v>1220957</v>
      </c>
      <c r="D359" s="8">
        <v>0</v>
      </c>
      <c r="E359" s="8">
        <v>0</v>
      </c>
      <c r="F359" s="7">
        <f t="shared" si="12"/>
        <v>11175496.260000002</v>
      </c>
      <c r="J359" s="8">
        <f t="shared" si="13"/>
        <v>0</v>
      </c>
    </row>
    <row r="360" spans="1:10" ht="12.75">
      <c r="A360" s="5">
        <f>202+PRRAS!I177</f>
        <v>359</v>
      </c>
      <c r="B360" s="5">
        <f>PRRAS!J177</f>
        <v>8230601</v>
      </c>
      <c r="C360" s="5">
        <f>PRRAS!K177</f>
        <v>4417263</v>
      </c>
      <c r="D360" s="8">
        <v>0</v>
      </c>
      <c r="E360" s="8">
        <v>0</v>
      </c>
      <c r="F360" s="7">
        <f t="shared" si="12"/>
        <v>61263805.93</v>
      </c>
      <c r="J360" s="8">
        <f t="shared" si="13"/>
        <v>0</v>
      </c>
    </row>
    <row r="361" spans="1:10" ht="12.75">
      <c r="A361" s="5">
        <f>202+PRRAS!I178</f>
        <v>360</v>
      </c>
      <c r="B361" s="5">
        <f>PRRAS!J178</f>
        <v>7689377</v>
      </c>
      <c r="C361" s="5">
        <f>PRRAS!K178</f>
        <v>5175361</v>
      </c>
      <c r="D361" s="8">
        <v>0</v>
      </c>
      <c r="E361" s="8">
        <v>0</v>
      </c>
      <c r="F361" s="7">
        <f t="shared" si="12"/>
        <v>64944356.400000006</v>
      </c>
      <c r="J361" s="8">
        <f t="shared" si="13"/>
        <v>0</v>
      </c>
    </row>
    <row r="362" spans="1:10" ht="12.75">
      <c r="A362" s="5">
        <f>202+PRRAS!I179</f>
        <v>361</v>
      </c>
      <c r="B362" s="5">
        <f>PRRAS!J179</f>
        <v>1220957</v>
      </c>
      <c r="C362" s="5">
        <f>PRRAS!K179</f>
        <v>462859</v>
      </c>
      <c r="D362" s="8">
        <v>0</v>
      </c>
      <c r="E362" s="8">
        <v>0</v>
      </c>
      <c r="F362" s="7">
        <f t="shared" si="12"/>
        <v>7749496.75</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HR5124020061100717959</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04293967</v>
      </c>
      <c r="I3" s="9" t="s">
        <v>3064</v>
      </c>
      <c r="J3" s="8">
        <f t="shared" si="1"/>
        <v>0</v>
      </c>
    </row>
    <row r="4" spans="1:10" ht="12.75">
      <c r="A4" s="5">
        <v>3</v>
      </c>
      <c r="B4" s="8">
        <v>0</v>
      </c>
      <c r="C4" s="8">
        <v>0</v>
      </c>
      <c r="D4" s="8">
        <v>0</v>
      </c>
      <c r="E4" s="8">
        <v>0</v>
      </c>
      <c r="F4" s="7">
        <f t="shared" si="0"/>
        <v>0</v>
      </c>
      <c r="G4" s="6" t="str">
        <f>IF(ISERROR(RefStr!C7),"-",UPPER(TRIM(RefStr!C7)))</f>
        <v>INSTITUT ZA RAZVOJ I INOVATIVNOST MLADIH-IRIM</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STROJARSKA CESTA 20</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NENAD BAKIĆ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ŽELJKA OBAD</v>
      </c>
      <c r="I20" s="9" t="s">
        <v>2673</v>
      </c>
      <c r="J20" s="8">
        <f t="shared" si="1"/>
        <v>0</v>
      </c>
    </row>
    <row r="21" spans="1:10" ht="12.75">
      <c r="A21" s="5">
        <v>20</v>
      </c>
      <c r="B21" s="8">
        <v>0</v>
      </c>
      <c r="C21" s="8">
        <v>0</v>
      </c>
      <c r="D21" s="8">
        <v>0</v>
      </c>
      <c r="E21" s="8">
        <v>0</v>
      </c>
      <c r="F21" s="7">
        <f t="shared" si="0"/>
        <v>0</v>
      </c>
      <c r="G21" s="6" t="str">
        <f>IF(ISERROR(RefStr!D45),"-",UPPER(TRIM(RefStr!D45)))</f>
        <v>015522832</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zeljka@fiducia@hr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29139223214</v>
      </c>
      <c r="I38" s="9" t="s">
        <v>1861</v>
      </c>
      <c r="J38" s="8">
        <f t="shared" si="3"/>
        <v>0</v>
      </c>
    </row>
    <row r="39" spans="1:10" ht="12.75">
      <c r="A39" s="5">
        <v>38</v>
      </c>
      <c r="B39" s="8">
        <v>0</v>
      </c>
      <c r="C39" s="8">
        <v>0</v>
      </c>
      <c r="D39" s="8">
        <v>0</v>
      </c>
      <c r="E39" s="8">
        <v>0</v>
      </c>
      <c r="F39" s="7">
        <f t="shared" si="2"/>
        <v>0</v>
      </c>
      <c r="G39" s="6" t="str">
        <f>TEXT(INT(VALUE(RefStr!J9)),"00000")</f>
        <v>287998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458856062.84000003</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HR5124020061100717959</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04293967</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INSTITUT ZA RAZVOJ I INOVATIVNOST MLADIH-IRIM</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STROJARSKA CESTA 20</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NENAD BAKIĆ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ŽELJKA OBAD</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015522832</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zeljka@fiducia@hr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29139223214</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287998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458856062.84000003</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8" activePane="bottomLeft" state="frozen"/>
      <selection pane="topLeft" activeCell="A1" sqref="A1"/>
      <selection pane="bottomLeft" activeCell="J17" sqref="J1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10000</v>
      </c>
      <c r="D9" s="96" t="s">
        <v>2029</v>
      </c>
      <c r="E9" s="363" t="s">
        <v>3074</v>
      </c>
      <c r="F9" s="366"/>
      <c r="G9" s="366"/>
      <c r="H9" s="367"/>
      <c r="I9" s="116" t="s">
        <v>791</v>
      </c>
      <c r="J9" s="75">
        <v>287998</v>
      </c>
    </row>
    <row r="10" spans="2:10" ht="4.5" customHeight="1">
      <c r="B10" s="46"/>
      <c r="C10" s="46"/>
      <c r="D10" s="112"/>
      <c r="E10" s="110"/>
      <c r="F10" s="110"/>
      <c r="G10" s="110"/>
      <c r="H10" s="110"/>
      <c r="I10" s="110"/>
      <c r="J10" s="111"/>
    </row>
    <row r="11" spans="2:11" ht="15" customHeight="1">
      <c r="B11" s="96" t="s">
        <v>12</v>
      </c>
      <c r="C11" s="363" t="s">
        <v>3075</v>
      </c>
      <c r="D11" s="364"/>
      <c r="E11" s="364"/>
      <c r="F11" s="364"/>
      <c r="G11" s="364"/>
      <c r="H11" s="365"/>
      <c r="I11" s="117" t="s">
        <v>1530</v>
      </c>
      <c r="J11" s="42" t="s">
        <v>3076</v>
      </c>
      <c r="K11" s="111"/>
    </row>
    <row r="12" spans="2:10" ht="4.5" customHeight="1">
      <c r="B12" s="46"/>
      <c r="C12" s="46"/>
      <c r="D12" s="112"/>
      <c r="E12" s="110"/>
      <c r="F12" s="110"/>
      <c r="G12" s="110"/>
      <c r="H12" s="110"/>
      <c r="I12" s="110"/>
      <c r="J12" s="111"/>
    </row>
    <row r="13" spans="2:10" ht="15" customHeight="1">
      <c r="B13" s="96" t="s">
        <v>2727</v>
      </c>
      <c r="C13" s="340" t="s">
        <v>3077</v>
      </c>
      <c r="D13" s="341"/>
      <c r="E13" s="342"/>
      <c r="G13" s="3"/>
      <c r="H13" s="47"/>
      <c r="I13" s="116" t="s">
        <v>792</v>
      </c>
      <c r="J13" s="74">
        <v>29139223214</v>
      </c>
    </row>
    <row r="14" spans="2:10" ht="4.5" customHeight="1">
      <c r="B14" s="46"/>
      <c r="C14" s="46"/>
      <c r="D14" s="112"/>
      <c r="E14" s="110"/>
      <c r="F14" s="110"/>
      <c r="G14" s="110"/>
      <c r="H14" s="110"/>
      <c r="I14" s="110"/>
      <c r="J14" s="111"/>
    </row>
    <row r="15" spans="2:10" ht="15" customHeight="1">
      <c r="B15" s="117" t="s">
        <v>14</v>
      </c>
      <c r="C15" s="42" t="s">
        <v>2471</v>
      </c>
      <c r="D15" s="354" t="str">
        <f>IF(C15&lt;&gt;"",LOOKUP(C15,T23:T640,U23:U640),"")</f>
        <v>Djelatnosti ostalih članskih organizacija, d. n.</v>
      </c>
      <c r="E15" s="355"/>
      <c r="F15" s="355"/>
      <c r="G15" s="355"/>
      <c r="H15" s="355"/>
      <c r="I15" s="117" t="s">
        <v>2857</v>
      </c>
      <c r="J15" s="282" t="s">
        <v>1482</v>
      </c>
    </row>
    <row r="16" spans="4:8" ht="4.5" customHeight="1">
      <c r="D16" s="3"/>
      <c r="E16" s="114"/>
      <c r="F16" s="48"/>
      <c r="G16" s="115"/>
      <c r="H16" s="3"/>
    </row>
    <row r="17" spans="2:10" ht="15" customHeight="1">
      <c r="B17" s="224" t="s">
        <v>2858</v>
      </c>
      <c r="C17" s="76">
        <v>133</v>
      </c>
      <c r="D17" s="354" t="str">
        <f>IF(C17&lt;&gt;"","Grad/općina: "&amp;LOOKUP(C17,M23:M580,N23:N580),"")</f>
        <v>Grad/općina: GRAD ZAGREB</v>
      </c>
      <c r="E17" s="355"/>
      <c r="F17" s="355"/>
      <c r="G17" s="355"/>
      <c r="H17" s="355"/>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458856062.84000003</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2415220</v>
      </c>
      <c r="J24" s="213">
        <f>BIL!K19</f>
        <v>1948366</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2415221</v>
      </c>
      <c r="J25" s="216">
        <f>BIL!K164</f>
        <v>1948366</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3705786</v>
      </c>
      <c r="J27" s="213">
        <f>PRRAS!K19</f>
        <v>2484486</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3064523</v>
      </c>
      <c r="J28" s="215">
        <f>PRRAS!K167</f>
        <v>3121875</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2152132</v>
      </c>
      <c r="J29" s="215">
        <f>PRRAS!K173</f>
        <v>1514742</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3078</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3079</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3080</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3081</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B1">
      <pane ySplit="1" topLeftCell="A47" activePane="bottomLeft" state="frozen"/>
      <selection pane="topLeft" activeCell="A1" sqref="A1"/>
      <selection pane="bottomLeft" activeCell="I23" sqref="I23"/>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1574</v>
      </c>
      <c r="L3" s="408"/>
    </row>
    <row r="4" spans="2:12" ht="30" customHeight="1">
      <c r="B4" s="400" t="s">
        <v>1292</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01.01.2019. do 31.12.2019.</v>
      </c>
      <c r="C6" s="403"/>
      <c r="D6" s="403"/>
      <c r="E6" s="403"/>
      <c r="F6" s="403"/>
      <c r="G6" s="403"/>
      <c r="H6" s="403"/>
      <c r="I6" s="403"/>
      <c r="J6" s="403"/>
      <c r="K6" s="403"/>
      <c r="L6" s="403"/>
      <c r="P6" s="264" t="s">
        <v>769</v>
      </c>
    </row>
    <row r="7" spans="2:16" s="118" customFormat="1" ht="18" customHeight="1" thickBot="1">
      <c r="B7" s="409" t="s">
        <v>11</v>
      </c>
      <c r="C7" s="410"/>
      <c r="D7" s="411" t="str">
        <f>IF(RefStr!N4=1,IF(RefStr!C7&lt;&gt;"",RefStr!C7,""),"")</f>
        <v>INSTITUT ZA RAZVOJ I INOVATIVNOST MLADIH-IRIM</v>
      </c>
      <c r="E7" s="412"/>
      <c r="F7" s="412"/>
      <c r="G7" s="412"/>
      <c r="H7" s="412"/>
      <c r="I7" s="412"/>
      <c r="J7" s="412"/>
      <c r="K7" s="412"/>
      <c r="L7" s="412"/>
      <c r="P7" s="27" t="s">
        <v>1611</v>
      </c>
    </row>
    <row r="8" spans="2:12" s="118" customFormat="1" ht="18" customHeight="1" thickBot="1">
      <c r="B8" s="409" t="s">
        <v>2026</v>
      </c>
      <c r="C8" s="409"/>
      <c r="D8" s="231">
        <f>IF(RefStr!N4=1,IF(RefStr!C9&lt;&gt;"",RefStr!C9,""),"")</f>
        <v>10000</v>
      </c>
      <c r="E8" s="121"/>
      <c r="F8" s="128" t="s">
        <v>2029</v>
      </c>
      <c r="G8" s="413" t="str">
        <f>IF(RefStr!N4=1,IF(RefStr!E9&lt;&gt;"",RefStr!E9,""),"")</f>
        <v>ZAGREB</v>
      </c>
      <c r="H8" s="414"/>
      <c r="I8" s="414"/>
      <c r="J8" s="414"/>
      <c r="K8" s="414"/>
      <c r="L8" s="414"/>
    </row>
    <row r="9" spans="2:12" s="118" customFormat="1" ht="18" customHeight="1" thickBot="1">
      <c r="B9" s="409" t="s">
        <v>12</v>
      </c>
      <c r="C9" s="409"/>
      <c r="D9" s="413" t="str">
        <f>IF(RefStr!N4=1,IF(RefStr!C11&lt;&gt;"",RefStr!C11,""),"")</f>
        <v>STROJARSKA CESTA 20</v>
      </c>
      <c r="E9" s="413"/>
      <c r="F9" s="413"/>
      <c r="G9" s="413"/>
      <c r="H9" s="413"/>
      <c r="I9" s="413"/>
      <c r="J9" s="413"/>
      <c r="K9" s="413"/>
      <c r="L9" s="413"/>
    </row>
    <row r="10" spans="2:12" s="118" customFormat="1" ht="18" customHeight="1" thickBot="1">
      <c r="B10" s="409" t="s">
        <v>2727</v>
      </c>
      <c r="C10" s="409" t="s">
        <v>2856</v>
      </c>
      <c r="D10" s="418" t="str">
        <f>IF(RefStr!N4=1,IF(RefStr!C13&lt;&gt;"",RefStr!C13,""),"")</f>
        <v>HR5124020061100717959</v>
      </c>
      <c r="E10" s="419"/>
      <c r="F10" s="419"/>
      <c r="G10" s="122"/>
      <c r="H10" s="122"/>
      <c r="I10" s="136"/>
      <c r="J10" s="128" t="s">
        <v>791</v>
      </c>
      <c r="K10" s="227">
        <f>IF(RefStr!N4=1,IF(RefStr!J9&lt;&gt;"",RefStr!J9,""),"")</f>
        <v>287998</v>
      </c>
      <c r="L10" s="136"/>
    </row>
    <row r="11" spans="2:12" s="118" customFormat="1" ht="18" customHeight="1" thickBot="1">
      <c r="B11" s="423" t="s">
        <v>14</v>
      </c>
      <c r="C11" s="424"/>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04293967</v>
      </c>
      <c r="L11" s="136"/>
    </row>
    <row r="12" spans="2:12" s="118" customFormat="1" ht="18" customHeight="1" thickBot="1">
      <c r="B12" s="409" t="s">
        <v>2858</v>
      </c>
      <c r="C12" s="424"/>
      <c r="D12" s="124">
        <f>IF(RefStr!N4=1,IF(RefStr!C17&lt;&gt;"",RefStr!C17,""),"")</f>
        <v>133</v>
      </c>
      <c r="E12" s="233" t="str">
        <f>IF(RefStr!D17&lt;&gt;"",RefStr!D17,"")</f>
        <v>Grad/općina: GRAD ZAGREB</v>
      </c>
      <c r="F12" s="125"/>
      <c r="G12" s="122"/>
      <c r="H12" s="122"/>
      <c r="I12" s="126"/>
      <c r="J12" s="208" t="s">
        <v>792</v>
      </c>
      <c r="K12" s="425">
        <f>IF(RefStr!N4=1,IF(RefStr!J13&lt;&gt;"",RefStr!J13,""),"")</f>
        <v>29139223214</v>
      </c>
      <c r="L12" s="426"/>
    </row>
    <row r="13" spans="2:12" s="118" customFormat="1" ht="18" customHeight="1" thickBot="1">
      <c r="B13" s="136"/>
      <c r="C13" s="127"/>
      <c r="D13" s="262"/>
      <c r="E13" s="263"/>
      <c r="F13" s="263"/>
      <c r="G13" s="263"/>
      <c r="H13" s="263"/>
      <c r="I13" s="423" t="s">
        <v>2857</v>
      </c>
      <c r="J13" s="424"/>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437" t="s">
        <v>3056</v>
      </c>
      <c r="C18" s="438"/>
      <c r="D18" s="438"/>
      <c r="E18" s="438"/>
      <c r="F18" s="438"/>
      <c r="G18" s="438"/>
      <c r="H18" s="438"/>
      <c r="I18" s="438"/>
      <c r="J18" s="438"/>
      <c r="K18" s="438"/>
      <c r="L18" s="439"/>
    </row>
    <row r="19" spans="2:12" ht="12.75" customHeight="1">
      <c r="B19" s="283">
        <v>3</v>
      </c>
      <c r="C19" s="452" t="s">
        <v>2113</v>
      </c>
      <c r="D19" s="453"/>
      <c r="E19" s="453"/>
      <c r="F19" s="453"/>
      <c r="G19" s="453"/>
      <c r="H19" s="454"/>
      <c r="I19" s="140">
        <v>1</v>
      </c>
      <c r="J19" s="272">
        <f>J20+J23+J26+J29+J42+J58+J67</f>
        <v>3705786</v>
      </c>
      <c r="K19" s="272">
        <f>K20+K23+K26+K29+K42+K58+K67</f>
        <v>2484486</v>
      </c>
      <c r="L19" s="78">
        <f>IF(J19&gt;0,IF(K19/J19&gt;=100,"&gt;&gt;100",K19/J19*100),"-")</f>
        <v>67.04342884343565</v>
      </c>
    </row>
    <row r="20" spans="2:12" ht="12.75">
      <c r="B20" s="284">
        <v>31</v>
      </c>
      <c r="C20" s="386" t="s">
        <v>236</v>
      </c>
      <c r="D20" s="386"/>
      <c r="E20" s="386"/>
      <c r="F20" s="386"/>
      <c r="G20" s="386"/>
      <c r="H20" s="386"/>
      <c r="I20" s="142">
        <v>2</v>
      </c>
      <c r="J20" s="273">
        <f>J21+J22</f>
        <v>0</v>
      </c>
      <c r="K20" s="273">
        <f>K21+K22</f>
        <v>0</v>
      </c>
      <c r="L20" s="79" t="str">
        <f>IF(J20&gt;0,IF(K20/J20&gt;=100,"&gt;&gt;100",K20/J20*100),"-")</f>
        <v>-</v>
      </c>
    </row>
    <row r="21" spans="2:12" ht="12.75">
      <c r="B21" s="284">
        <v>3111</v>
      </c>
      <c r="C21" s="386" t="s">
        <v>2717</v>
      </c>
      <c r="D21" s="386"/>
      <c r="E21" s="386"/>
      <c r="F21" s="386"/>
      <c r="G21" s="386"/>
      <c r="H21" s="386"/>
      <c r="I21" s="142">
        <v>3</v>
      </c>
      <c r="J21" s="80"/>
      <c r="K21" s="80"/>
      <c r="L21" s="79" t="str">
        <f aca="true" t="shared" si="0" ref="L21:L69">IF(J21&gt;0,IF(K21/J21&gt;=100,"&gt;&gt;100",K21/J21*100),"-")</f>
        <v>-</v>
      </c>
    </row>
    <row r="22" spans="2:12" ht="12.75">
      <c r="B22" s="284">
        <v>3112</v>
      </c>
      <c r="C22" s="386" t="s">
        <v>2718</v>
      </c>
      <c r="D22" s="386"/>
      <c r="E22" s="386"/>
      <c r="F22" s="386"/>
      <c r="G22" s="386"/>
      <c r="H22" s="386"/>
      <c r="I22" s="142">
        <v>4</v>
      </c>
      <c r="J22" s="80"/>
      <c r="K22" s="80"/>
      <c r="L22" s="79" t="str">
        <f t="shared" si="0"/>
        <v>-</v>
      </c>
    </row>
    <row r="23" spans="2:12" ht="12.75">
      <c r="B23" s="284">
        <v>32</v>
      </c>
      <c r="C23" s="386" t="s">
        <v>237</v>
      </c>
      <c r="D23" s="386"/>
      <c r="E23" s="386"/>
      <c r="F23" s="386"/>
      <c r="G23" s="386"/>
      <c r="H23" s="386"/>
      <c r="I23" s="142">
        <v>5</v>
      </c>
      <c r="J23" s="273">
        <f>J24+J25</f>
        <v>0</v>
      </c>
      <c r="K23" s="273">
        <f>K24+K25</f>
        <v>15015</v>
      </c>
      <c r="L23" s="79" t="str">
        <f t="shared" si="0"/>
        <v>-</v>
      </c>
    </row>
    <row r="24" spans="2:12" ht="12.75">
      <c r="B24" s="284">
        <v>3211</v>
      </c>
      <c r="C24" s="386" t="s">
        <v>2735</v>
      </c>
      <c r="D24" s="386"/>
      <c r="E24" s="386"/>
      <c r="F24" s="386"/>
      <c r="G24" s="386"/>
      <c r="H24" s="386"/>
      <c r="I24" s="142">
        <v>6</v>
      </c>
      <c r="J24" s="80"/>
      <c r="K24" s="80">
        <v>15015</v>
      </c>
      <c r="L24" s="79" t="str">
        <f t="shared" si="0"/>
        <v>-</v>
      </c>
    </row>
    <row r="25" spans="2:12" ht="12.75">
      <c r="B25" s="284">
        <v>3212</v>
      </c>
      <c r="C25" s="386" t="s">
        <v>2719</v>
      </c>
      <c r="D25" s="386"/>
      <c r="E25" s="386"/>
      <c r="F25" s="386"/>
      <c r="G25" s="386"/>
      <c r="H25" s="386"/>
      <c r="I25" s="142">
        <v>7</v>
      </c>
      <c r="J25" s="80"/>
      <c r="K25" s="80"/>
      <c r="L25" s="79" t="str">
        <f t="shared" si="0"/>
        <v>-</v>
      </c>
    </row>
    <row r="26" spans="2:12" ht="12.75">
      <c r="B26" s="284">
        <v>33</v>
      </c>
      <c r="C26" s="386" t="s">
        <v>238</v>
      </c>
      <c r="D26" s="386"/>
      <c r="E26" s="386"/>
      <c r="F26" s="386"/>
      <c r="G26" s="386"/>
      <c r="H26" s="386"/>
      <c r="I26" s="142">
        <v>8</v>
      </c>
      <c r="J26" s="273">
        <f>J27+J28</f>
        <v>0</v>
      </c>
      <c r="K26" s="273">
        <f>K27+K28</f>
        <v>6247</v>
      </c>
      <c r="L26" s="79" t="str">
        <f t="shared" si="0"/>
        <v>-</v>
      </c>
    </row>
    <row r="27" spans="2:12" ht="12.75">
      <c r="B27" s="284">
        <v>3311</v>
      </c>
      <c r="C27" s="386" t="s">
        <v>2720</v>
      </c>
      <c r="D27" s="386"/>
      <c r="E27" s="386"/>
      <c r="F27" s="386"/>
      <c r="G27" s="386"/>
      <c r="H27" s="386"/>
      <c r="I27" s="142">
        <v>9</v>
      </c>
      <c r="J27" s="80"/>
      <c r="K27" s="80"/>
      <c r="L27" s="79" t="str">
        <f t="shared" si="0"/>
        <v>-</v>
      </c>
    </row>
    <row r="28" spans="2:12" ht="12.75">
      <c r="B28" s="284">
        <v>3312</v>
      </c>
      <c r="C28" s="386" t="s">
        <v>2721</v>
      </c>
      <c r="D28" s="386"/>
      <c r="E28" s="386"/>
      <c r="F28" s="386"/>
      <c r="G28" s="386"/>
      <c r="H28" s="386"/>
      <c r="I28" s="142">
        <v>10</v>
      </c>
      <c r="J28" s="80"/>
      <c r="K28" s="80">
        <v>6247</v>
      </c>
      <c r="L28" s="79" t="str">
        <f t="shared" si="0"/>
        <v>-</v>
      </c>
    </row>
    <row r="29" spans="2:12" ht="12.75">
      <c r="B29" s="284">
        <v>34</v>
      </c>
      <c r="C29" s="386" t="s">
        <v>239</v>
      </c>
      <c r="D29" s="386"/>
      <c r="E29" s="386"/>
      <c r="F29" s="386"/>
      <c r="G29" s="386"/>
      <c r="H29" s="386"/>
      <c r="I29" s="142">
        <v>11</v>
      </c>
      <c r="J29" s="273">
        <f>J30+J39</f>
        <v>1708</v>
      </c>
      <c r="K29" s="273">
        <f>K30+K39</f>
        <v>3927</v>
      </c>
      <c r="L29" s="79">
        <f t="shared" si="0"/>
        <v>229.91803278688522</v>
      </c>
    </row>
    <row r="30" spans="2:12" ht="12.75">
      <c r="B30" s="284">
        <v>341</v>
      </c>
      <c r="C30" s="386" t="s">
        <v>240</v>
      </c>
      <c r="D30" s="386"/>
      <c r="E30" s="386"/>
      <c r="F30" s="386"/>
      <c r="G30" s="386"/>
      <c r="H30" s="386"/>
      <c r="I30" s="142">
        <v>12</v>
      </c>
      <c r="J30" s="273">
        <f>SUM(J31:J38)</f>
        <v>1708</v>
      </c>
      <c r="K30" s="273">
        <f>SUM(K31:K38)</f>
        <v>3927</v>
      </c>
      <c r="L30" s="79">
        <f t="shared" si="0"/>
        <v>229.91803278688522</v>
      </c>
    </row>
    <row r="31" spans="2:12" ht="12.75">
      <c r="B31" s="284">
        <v>3411</v>
      </c>
      <c r="C31" s="386" t="s">
        <v>2722</v>
      </c>
      <c r="D31" s="386"/>
      <c r="E31" s="386"/>
      <c r="F31" s="386"/>
      <c r="G31" s="386"/>
      <c r="H31" s="386"/>
      <c r="I31" s="142">
        <v>13</v>
      </c>
      <c r="J31" s="80"/>
      <c r="K31" s="80"/>
      <c r="L31" s="79" t="str">
        <f t="shared" si="0"/>
        <v>-</v>
      </c>
    </row>
    <row r="32" spans="2:12" ht="12.75">
      <c r="B32" s="284">
        <v>3412</v>
      </c>
      <c r="C32" s="386" t="s">
        <v>2723</v>
      </c>
      <c r="D32" s="386"/>
      <c r="E32" s="386"/>
      <c r="F32" s="386"/>
      <c r="G32" s="386"/>
      <c r="H32" s="386"/>
      <c r="I32" s="142">
        <v>14</v>
      </c>
      <c r="J32" s="80"/>
      <c r="K32" s="80"/>
      <c r="L32" s="79" t="str">
        <f t="shared" si="0"/>
        <v>-</v>
      </c>
    </row>
    <row r="33" spans="2:12" ht="12.75">
      <c r="B33" s="284">
        <v>3413</v>
      </c>
      <c r="C33" s="386" t="s">
        <v>2724</v>
      </c>
      <c r="D33" s="386"/>
      <c r="E33" s="386"/>
      <c r="F33" s="386"/>
      <c r="G33" s="386"/>
      <c r="H33" s="386"/>
      <c r="I33" s="142">
        <v>15</v>
      </c>
      <c r="J33" s="80">
        <v>2</v>
      </c>
      <c r="K33" s="80">
        <v>6</v>
      </c>
      <c r="L33" s="79">
        <f t="shared" si="0"/>
        <v>300</v>
      </c>
    </row>
    <row r="34" spans="2:12" ht="12.75">
      <c r="B34" s="284">
        <v>3414</v>
      </c>
      <c r="C34" s="386" t="s">
        <v>2725</v>
      </c>
      <c r="D34" s="386"/>
      <c r="E34" s="386"/>
      <c r="F34" s="386"/>
      <c r="G34" s="386"/>
      <c r="H34" s="386"/>
      <c r="I34" s="142">
        <v>16</v>
      </c>
      <c r="J34" s="80"/>
      <c r="K34" s="80"/>
      <c r="L34" s="79" t="str">
        <f t="shared" si="0"/>
        <v>-</v>
      </c>
    </row>
    <row r="35" spans="2:12" ht="12.75">
      <c r="B35" s="284">
        <v>3415</v>
      </c>
      <c r="C35" s="386" t="s">
        <v>2726</v>
      </c>
      <c r="D35" s="386"/>
      <c r="E35" s="386"/>
      <c r="F35" s="386"/>
      <c r="G35" s="386"/>
      <c r="H35" s="386"/>
      <c r="I35" s="142">
        <v>17</v>
      </c>
      <c r="J35" s="80">
        <v>1706</v>
      </c>
      <c r="K35" s="80">
        <v>3921</v>
      </c>
      <c r="L35" s="79">
        <f t="shared" si="0"/>
        <v>229.83587338804222</v>
      </c>
    </row>
    <row r="36" spans="2:12" ht="12.75">
      <c r="B36" s="284">
        <v>3416</v>
      </c>
      <c r="C36" s="386" t="s">
        <v>1844</v>
      </c>
      <c r="D36" s="386"/>
      <c r="E36" s="386"/>
      <c r="F36" s="386"/>
      <c r="G36" s="386"/>
      <c r="H36" s="386"/>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386" t="s">
        <v>1846</v>
      </c>
      <c r="D38" s="386"/>
      <c r="E38" s="386"/>
      <c r="F38" s="386"/>
      <c r="G38" s="386"/>
      <c r="H38" s="386"/>
      <c r="I38" s="142">
        <v>20</v>
      </c>
      <c r="J38" s="80"/>
      <c r="K38" s="80"/>
      <c r="L38" s="79" t="str">
        <f t="shared" si="0"/>
        <v>-</v>
      </c>
    </row>
    <row r="39" spans="2:12" ht="12.75">
      <c r="B39" s="284">
        <v>342</v>
      </c>
      <c r="C39" s="386" t="s">
        <v>760</v>
      </c>
      <c r="D39" s="386"/>
      <c r="E39" s="386"/>
      <c r="F39" s="386"/>
      <c r="G39" s="386"/>
      <c r="H39" s="386"/>
      <c r="I39" s="142">
        <v>21</v>
      </c>
      <c r="J39" s="273">
        <f>J40+J41</f>
        <v>0</v>
      </c>
      <c r="K39" s="273">
        <f>K40+K41</f>
        <v>0</v>
      </c>
      <c r="L39" s="79" t="str">
        <f t="shared" si="0"/>
        <v>-</v>
      </c>
    </row>
    <row r="40" spans="2:12" ht="12.75">
      <c r="B40" s="284">
        <v>3421</v>
      </c>
      <c r="C40" s="386" t="s">
        <v>1847</v>
      </c>
      <c r="D40" s="386"/>
      <c r="E40" s="386"/>
      <c r="F40" s="386"/>
      <c r="G40" s="386"/>
      <c r="H40" s="386"/>
      <c r="I40" s="142">
        <v>22</v>
      </c>
      <c r="J40" s="80"/>
      <c r="K40" s="80"/>
      <c r="L40" s="79" t="str">
        <f t="shared" si="0"/>
        <v>-</v>
      </c>
    </row>
    <row r="41" spans="2:12" ht="12.75">
      <c r="B41" s="284">
        <v>3422</v>
      </c>
      <c r="C41" s="386" t="s">
        <v>1848</v>
      </c>
      <c r="D41" s="386"/>
      <c r="E41" s="386"/>
      <c r="F41" s="386"/>
      <c r="G41" s="386"/>
      <c r="H41" s="386"/>
      <c r="I41" s="142">
        <v>23</v>
      </c>
      <c r="J41" s="80"/>
      <c r="K41" s="80"/>
      <c r="L41" s="79" t="str">
        <f t="shared" si="0"/>
        <v>-</v>
      </c>
    </row>
    <row r="42" spans="2:12" ht="12.75" customHeight="1">
      <c r="B42" s="284">
        <v>35</v>
      </c>
      <c r="C42" s="444" t="s">
        <v>2114</v>
      </c>
      <c r="D42" s="440"/>
      <c r="E42" s="440"/>
      <c r="F42" s="440"/>
      <c r="G42" s="440"/>
      <c r="H42" s="441"/>
      <c r="I42" s="142">
        <v>24</v>
      </c>
      <c r="J42" s="273">
        <f>J43+J48+J51+J54+J55</f>
        <v>3694140</v>
      </c>
      <c r="K42" s="273">
        <f>K43+K48+K51+K54+K55</f>
        <v>2459296</v>
      </c>
      <c r="L42" s="79">
        <f t="shared" si="0"/>
        <v>66.57289653342862</v>
      </c>
    </row>
    <row r="43" spans="2:12" ht="12.75" customHeight="1">
      <c r="B43" s="284">
        <v>351</v>
      </c>
      <c r="C43" s="382" t="s">
        <v>2106</v>
      </c>
      <c r="D43" s="382"/>
      <c r="E43" s="382"/>
      <c r="F43" s="382"/>
      <c r="G43" s="382"/>
      <c r="H43" s="382"/>
      <c r="I43" s="142">
        <v>25</v>
      </c>
      <c r="J43" s="273">
        <f>SUM(J44:J47)</f>
        <v>870820</v>
      </c>
      <c r="K43" s="273">
        <f>SUM(K44:K47)</f>
        <v>1176008</v>
      </c>
      <c r="L43" s="79">
        <f t="shared" si="0"/>
        <v>135.04604855193955</v>
      </c>
    </row>
    <row r="44" spans="2:12" ht="12.75">
      <c r="B44" s="284">
        <v>3511</v>
      </c>
      <c r="C44" s="386" t="s">
        <v>1849</v>
      </c>
      <c r="D44" s="386"/>
      <c r="E44" s="386"/>
      <c r="F44" s="386"/>
      <c r="G44" s="386"/>
      <c r="H44" s="386"/>
      <c r="I44" s="142">
        <v>26</v>
      </c>
      <c r="J44" s="80">
        <v>37008</v>
      </c>
      <c r="K44" s="80">
        <v>727450</v>
      </c>
      <c r="L44" s="79">
        <f t="shared" si="0"/>
        <v>1965.6560743623</v>
      </c>
    </row>
    <row r="45" spans="2:12" ht="12.75">
      <c r="B45" s="284">
        <v>3512</v>
      </c>
      <c r="C45" s="386" t="s">
        <v>1850</v>
      </c>
      <c r="D45" s="386"/>
      <c r="E45" s="386"/>
      <c r="F45" s="386"/>
      <c r="G45" s="386"/>
      <c r="H45" s="386"/>
      <c r="I45" s="142">
        <v>27</v>
      </c>
      <c r="J45" s="80">
        <v>14568</v>
      </c>
      <c r="K45" s="80">
        <v>33147</v>
      </c>
      <c r="L45" s="79">
        <f t="shared" si="0"/>
        <v>227.5329489291598</v>
      </c>
    </row>
    <row r="46" spans="2:12" ht="12.75" customHeight="1">
      <c r="B46" s="284">
        <v>3513</v>
      </c>
      <c r="C46" s="382" t="s">
        <v>2102</v>
      </c>
      <c r="D46" s="382"/>
      <c r="E46" s="382"/>
      <c r="F46" s="382"/>
      <c r="G46" s="382"/>
      <c r="H46" s="382"/>
      <c r="I46" s="142">
        <v>28</v>
      </c>
      <c r="J46" s="80">
        <v>711792</v>
      </c>
      <c r="K46" s="80">
        <v>403542</v>
      </c>
      <c r="L46" s="79">
        <f>IF(J46&gt;0,IF(K46/J46&gt;=100,"&gt;&gt;100",K46/J46*100),"-")</f>
        <v>56.6938094274732</v>
      </c>
    </row>
    <row r="47" spans="2:12" ht="24.75" customHeight="1">
      <c r="B47" s="284">
        <v>3514</v>
      </c>
      <c r="C47" s="382" t="s">
        <v>2103</v>
      </c>
      <c r="D47" s="382"/>
      <c r="E47" s="382"/>
      <c r="F47" s="382"/>
      <c r="G47" s="382"/>
      <c r="H47" s="382"/>
      <c r="I47" s="142">
        <v>29</v>
      </c>
      <c r="J47" s="80">
        <v>107452</v>
      </c>
      <c r="K47" s="80">
        <v>11869</v>
      </c>
      <c r="L47" s="79">
        <f>IF(J47&gt;0,IF(K47/J47&gt;=100,"&gt;&gt;100",K47/J47*100),"-")</f>
        <v>11.045862338532555</v>
      </c>
    </row>
    <row r="48" spans="2:12" ht="12.75" customHeight="1">
      <c r="B48" s="284">
        <v>352</v>
      </c>
      <c r="C48" s="447" t="s">
        <v>2105</v>
      </c>
      <c r="D48" s="447"/>
      <c r="E48" s="447"/>
      <c r="F48" s="447"/>
      <c r="G48" s="447"/>
      <c r="H48" s="447"/>
      <c r="I48" s="142">
        <v>30</v>
      </c>
      <c r="J48" s="273">
        <f>J49+J50</f>
        <v>0</v>
      </c>
      <c r="K48" s="273">
        <f>K49+K50</f>
        <v>0</v>
      </c>
      <c r="L48" s="79" t="str">
        <f t="shared" si="0"/>
        <v>-</v>
      </c>
    </row>
    <row r="49" spans="2:12" ht="12.75">
      <c r="B49" s="284">
        <v>3521</v>
      </c>
      <c r="C49" s="382" t="s">
        <v>665</v>
      </c>
      <c r="D49" s="382"/>
      <c r="E49" s="382"/>
      <c r="F49" s="382"/>
      <c r="G49" s="382"/>
      <c r="H49" s="382"/>
      <c r="I49" s="142">
        <v>31</v>
      </c>
      <c r="J49" s="80"/>
      <c r="K49" s="80"/>
      <c r="L49" s="79" t="str">
        <f>IF(J49&gt;0,IF(K49/J49&gt;=100,"&gt;&gt;100",K49/J49*100),"-")</f>
        <v>-</v>
      </c>
    </row>
    <row r="50" spans="2:12" ht="12.75">
      <c r="B50" s="284">
        <v>3522</v>
      </c>
      <c r="C50" s="382" t="s">
        <v>2104</v>
      </c>
      <c r="D50" s="382"/>
      <c r="E50" s="382"/>
      <c r="F50" s="382"/>
      <c r="G50" s="382"/>
      <c r="H50" s="382"/>
      <c r="I50" s="142">
        <v>32</v>
      </c>
      <c r="J50" s="80"/>
      <c r="K50" s="80"/>
      <c r="L50" s="79" t="str">
        <f>IF(J50&gt;0,IF(K50/J50&gt;=100,"&gt;&gt;100",K50/J50*100),"-")</f>
        <v>-</v>
      </c>
    </row>
    <row r="51" spans="2:12" ht="12.75" customHeight="1">
      <c r="B51" s="284">
        <v>353</v>
      </c>
      <c r="C51" s="382" t="s">
        <v>2107</v>
      </c>
      <c r="D51" s="382"/>
      <c r="E51" s="382"/>
      <c r="F51" s="382"/>
      <c r="G51" s="382"/>
      <c r="H51" s="382"/>
      <c r="I51" s="142">
        <v>33</v>
      </c>
      <c r="J51" s="273">
        <f>J52+J53</f>
        <v>2678212</v>
      </c>
      <c r="K51" s="273">
        <f>K52+K53</f>
        <v>902941</v>
      </c>
      <c r="L51" s="79">
        <f t="shared" si="0"/>
        <v>33.714321345733644</v>
      </c>
    </row>
    <row r="52" spans="2:12" ht="12.75" customHeight="1">
      <c r="B52" s="284">
        <v>3531</v>
      </c>
      <c r="C52" s="382" t="s">
        <v>2681</v>
      </c>
      <c r="D52" s="382"/>
      <c r="E52" s="382"/>
      <c r="F52" s="382"/>
      <c r="G52" s="382"/>
      <c r="H52" s="382"/>
      <c r="I52" s="142">
        <v>34</v>
      </c>
      <c r="J52" s="80">
        <v>2678212</v>
      </c>
      <c r="K52" s="80">
        <v>902941</v>
      </c>
      <c r="L52" s="79">
        <f>IF(J52&gt;0,IF(K52/J52&gt;=100,"&gt;&gt;100",K52/J52*100),"-")</f>
        <v>33.714321345733644</v>
      </c>
    </row>
    <row r="53" spans="2:12" ht="12.75" customHeight="1">
      <c r="B53" s="284">
        <v>3532</v>
      </c>
      <c r="C53" s="382" t="s">
        <v>2108</v>
      </c>
      <c r="D53" s="382"/>
      <c r="E53" s="382"/>
      <c r="F53" s="382"/>
      <c r="G53" s="382"/>
      <c r="H53" s="382"/>
      <c r="I53" s="142">
        <v>35</v>
      </c>
      <c r="J53" s="80"/>
      <c r="K53" s="80"/>
      <c r="L53" s="79" t="str">
        <f t="shared" si="0"/>
        <v>-</v>
      </c>
    </row>
    <row r="54" spans="2:12" ht="12.75">
      <c r="B54" s="284">
        <v>354</v>
      </c>
      <c r="C54" s="386" t="s">
        <v>2682</v>
      </c>
      <c r="D54" s="386"/>
      <c r="E54" s="386"/>
      <c r="F54" s="386"/>
      <c r="G54" s="386"/>
      <c r="H54" s="386"/>
      <c r="I54" s="142">
        <v>36</v>
      </c>
      <c r="J54" s="80">
        <v>130263</v>
      </c>
      <c r="K54" s="80">
        <v>355306</v>
      </c>
      <c r="L54" s="79">
        <f t="shared" si="0"/>
        <v>272.7604922349401</v>
      </c>
    </row>
    <row r="55" spans="2:12" ht="12.75" customHeight="1">
      <c r="B55" s="284">
        <v>355</v>
      </c>
      <c r="C55" s="382" t="s">
        <v>2109</v>
      </c>
      <c r="D55" s="382"/>
      <c r="E55" s="382"/>
      <c r="F55" s="382"/>
      <c r="G55" s="382"/>
      <c r="H55" s="382"/>
      <c r="I55" s="142">
        <v>37</v>
      </c>
      <c r="J55" s="273">
        <f>J56+J57</f>
        <v>14845</v>
      </c>
      <c r="K55" s="273">
        <f>K56+K57</f>
        <v>25041</v>
      </c>
      <c r="L55" s="79">
        <f t="shared" si="0"/>
        <v>168.68305826877736</v>
      </c>
    </row>
    <row r="56" spans="2:12" ht="12.75" customHeight="1">
      <c r="B56" s="284">
        <v>3551</v>
      </c>
      <c r="C56" s="382" t="s">
        <v>2683</v>
      </c>
      <c r="D56" s="382"/>
      <c r="E56" s="382"/>
      <c r="F56" s="382"/>
      <c r="G56" s="382"/>
      <c r="H56" s="382"/>
      <c r="I56" s="142">
        <v>38</v>
      </c>
      <c r="J56" s="80">
        <v>6260</v>
      </c>
      <c r="K56" s="80">
        <v>25041</v>
      </c>
      <c r="L56" s="79">
        <f>IF(J56&gt;0,IF(K56/J56&gt;=100,"&gt;&gt;100",K56/J56*100),"-")</f>
        <v>400.0159744408946</v>
      </c>
    </row>
    <row r="57" spans="2:12" ht="12.75" customHeight="1">
      <c r="B57" s="284">
        <v>3552</v>
      </c>
      <c r="C57" s="382" t="s">
        <v>2110</v>
      </c>
      <c r="D57" s="382"/>
      <c r="E57" s="382"/>
      <c r="F57" s="382"/>
      <c r="G57" s="382"/>
      <c r="H57" s="382"/>
      <c r="I57" s="142">
        <v>39</v>
      </c>
      <c r="J57" s="80">
        <v>8585</v>
      </c>
      <c r="K57" s="80"/>
      <c r="L57" s="79">
        <f>IF(J57&gt;0,IF(K57/J57&gt;=100,"&gt;&gt;100",K57/J57*100),"-")</f>
        <v>0</v>
      </c>
    </row>
    <row r="58" spans="2:12" ht="12.75" customHeight="1">
      <c r="B58" s="284">
        <v>36</v>
      </c>
      <c r="C58" s="444" t="s">
        <v>2115</v>
      </c>
      <c r="D58" s="440"/>
      <c r="E58" s="440"/>
      <c r="F58" s="440"/>
      <c r="G58" s="440"/>
      <c r="H58" s="441"/>
      <c r="I58" s="142">
        <v>40</v>
      </c>
      <c r="J58" s="273">
        <f>J59+J62+J63</f>
        <v>9938</v>
      </c>
      <c r="K58" s="273">
        <f>K59+K62+K63</f>
        <v>1</v>
      </c>
      <c r="L58" s="79">
        <f t="shared" si="0"/>
        <v>0.01006238679814852</v>
      </c>
    </row>
    <row r="59" spans="2:12" ht="12.75" customHeight="1">
      <c r="B59" s="284">
        <v>361</v>
      </c>
      <c r="C59" s="444" t="s">
        <v>2116</v>
      </c>
      <c r="D59" s="440"/>
      <c r="E59" s="440"/>
      <c r="F59" s="440"/>
      <c r="G59" s="440"/>
      <c r="H59" s="441"/>
      <c r="I59" s="142">
        <v>41</v>
      </c>
      <c r="J59" s="273">
        <f>J60+J61</f>
        <v>3420</v>
      </c>
      <c r="K59" s="273">
        <f>K60+K61</f>
        <v>0</v>
      </c>
      <c r="L59" s="79">
        <f t="shared" si="0"/>
        <v>0</v>
      </c>
    </row>
    <row r="60" spans="2:12" ht="12.75">
      <c r="B60" s="284">
        <v>3611</v>
      </c>
      <c r="C60" s="386" t="s">
        <v>1851</v>
      </c>
      <c r="D60" s="386"/>
      <c r="E60" s="386"/>
      <c r="F60" s="386"/>
      <c r="G60" s="386"/>
      <c r="H60" s="386"/>
      <c r="I60" s="142">
        <v>42</v>
      </c>
      <c r="J60" s="80"/>
      <c r="K60" s="80"/>
      <c r="L60" s="79" t="str">
        <f t="shared" si="0"/>
        <v>-</v>
      </c>
    </row>
    <row r="61" spans="2:12" ht="12.75">
      <c r="B61" s="284">
        <v>3612</v>
      </c>
      <c r="C61" s="386" t="s">
        <v>1852</v>
      </c>
      <c r="D61" s="386"/>
      <c r="E61" s="386"/>
      <c r="F61" s="386"/>
      <c r="G61" s="386"/>
      <c r="H61" s="386"/>
      <c r="I61" s="142">
        <v>43</v>
      </c>
      <c r="J61" s="80">
        <v>3420</v>
      </c>
      <c r="K61" s="80"/>
      <c r="L61" s="79">
        <f t="shared" si="0"/>
        <v>0</v>
      </c>
    </row>
    <row r="62" spans="2:12" ht="12.75">
      <c r="B62" s="284">
        <v>362</v>
      </c>
      <c r="C62" s="386" t="s">
        <v>2684</v>
      </c>
      <c r="D62" s="386"/>
      <c r="E62" s="386"/>
      <c r="F62" s="386"/>
      <c r="G62" s="386"/>
      <c r="H62" s="386"/>
      <c r="I62" s="142">
        <v>44</v>
      </c>
      <c r="J62" s="80"/>
      <c r="K62" s="80"/>
      <c r="L62" s="79" t="str">
        <f t="shared" si="0"/>
        <v>-</v>
      </c>
    </row>
    <row r="63" spans="2:12" ht="12.75" customHeight="1">
      <c r="B63" s="284">
        <v>363</v>
      </c>
      <c r="C63" s="444" t="s">
        <v>2117</v>
      </c>
      <c r="D63" s="440"/>
      <c r="E63" s="440"/>
      <c r="F63" s="440"/>
      <c r="G63" s="440"/>
      <c r="H63" s="441"/>
      <c r="I63" s="142">
        <v>45</v>
      </c>
      <c r="J63" s="273">
        <f>SUM(J64:J66)</f>
        <v>6518</v>
      </c>
      <c r="K63" s="273">
        <f>SUM(K64:K66)</f>
        <v>1</v>
      </c>
      <c r="L63" s="79">
        <f t="shared" si="0"/>
        <v>0.015342129487572876</v>
      </c>
    </row>
    <row r="64" spans="2:12" ht="12.75">
      <c r="B64" s="284">
        <v>3631</v>
      </c>
      <c r="C64" s="386" t="s">
        <v>1853</v>
      </c>
      <c r="D64" s="386"/>
      <c r="E64" s="386"/>
      <c r="F64" s="386"/>
      <c r="G64" s="386"/>
      <c r="H64" s="386"/>
      <c r="I64" s="142">
        <v>46</v>
      </c>
      <c r="J64" s="80"/>
      <c r="K64" s="80"/>
      <c r="L64" s="79" t="str">
        <f t="shared" si="0"/>
        <v>-</v>
      </c>
    </row>
    <row r="65" spans="2:12" ht="12.75">
      <c r="B65" s="284">
        <v>3632</v>
      </c>
      <c r="C65" s="386" t="s">
        <v>1398</v>
      </c>
      <c r="D65" s="386"/>
      <c r="E65" s="386"/>
      <c r="F65" s="386"/>
      <c r="G65" s="386"/>
      <c r="H65" s="386"/>
      <c r="I65" s="142">
        <v>47</v>
      </c>
      <c r="J65" s="80"/>
      <c r="K65" s="80"/>
      <c r="L65" s="79" t="str">
        <f t="shared" si="0"/>
        <v>-</v>
      </c>
    </row>
    <row r="66" spans="2:12" ht="12.75">
      <c r="B66" s="284">
        <v>3633</v>
      </c>
      <c r="C66" s="386" t="s">
        <v>1399</v>
      </c>
      <c r="D66" s="386"/>
      <c r="E66" s="386"/>
      <c r="F66" s="386"/>
      <c r="G66" s="386"/>
      <c r="H66" s="386"/>
      <c r="I66" s="142">
        <v>48</v>
      </c>
      <c r="J66" s="80">
        <v>6518</v>
      </c>
      <c r="K66" s="80">
        <v>1</v>
      </c>
      <c r="L66" s="79">
        <f t="shared" si="0"/>
        <v>0.015342129487572876</v>
      </c>
    </row>
    <row r="67" spans="2:12" ht="12.75" customHeight="1">
      <c r="B67" s="284">
        <v>37</v>
      </c>
      <c r="C67" s="383" t="s">
        <v>2118</v>
      </c>
      <c r="D67" s="384"/>
      <c r="E67" s="384"/>
      <c r="F67" s="384"/>
      <c r="G67" s="384"/>
      <c r="H67" s="385"/>
      <c r="I67" s="142">
        <v>49</v>
      </c>
      <c r="J67" s="273">
        <f>SUM(J68:J71)</f>
        <v>0</v>
      </c>
      <c r="K67" s="273">
        <f>SUM(K68:K71)</f>
        <v>0</v>
      </c>
      <c r="L67" s="79" t="str">
        <f t="shared" si="0"/>
        <v>-</v>
      </c>
    </row>
    <row r="68" spans="2:12" ht="12.75">
      <c r="B68" s="284">
        <v>3711</v>
      </c>
      <c r="C68" s="386" t="s">
        <v>339</v>
      </c>
      <c r="D68" s="386"/>
      <c r="E68" s="386"/>
      <c r="F68" s="386"/>
      <c r="G68" s="386"/>
      <c r="H68" s="386"/>
      <c r="I68" s="142">
        <v>50</v>
      </c>
      <c r="J68" s="80"/>
      <c r="K68" s="80"/>
      <c r="L68" s="79" t="str">
        <f t="shared" si="0"/>
        <v>-</v>
      </c>
    </row>
    <row r="69" spans="2:12" ht="12.75">
      <c r="B69" s="284">
        <v>3712</v>
      </c>
      <c r="C69" s="386" t="s">
        <v>340</v>
      </c>
      <c r="D69" s="386"/>
      <c r="E69" s="386"/>
      <c r="F69" s="386"/>
      <c r="G69" s="386"/>
      <c r="H69" s="386"/>
      <c r="I69" s="142">
        <v>51</v>
      </c>
      <c r="J69" s="80"/>
      <c r="K69" s="80"/>
      <c r="L69" s="79" t="str">
        <f t="shared" si="0"/>
        <v>-</v>
      </c>
    </row>
    <row r="70" spans="2:12" ht="12.75" customHeight="1">
      <c r="B70" s="284">
        <v>3713</v>
      </c>
      <c r="C70" s="383" t="s">
        <v>2112</v>
      </c>
      <c r="D70" s="384"/>
      <c r="E70" s="384"/>
      <c r="F70" s="384"/>
      <c r="G70" s="384"/>
      <c r="H70" s="385"/>
      <c r="I70" s="142">
        <v>52</v>
      </c>
      <c r="J70" s="80"/>
      <c r="K70" s="80"/>
      <c r="L70" s="79" t="str">
        <f>IF(J70&gt;0,IF(K70/J70&gt;=100,"&gt;&gt;100",K70/J70*100),"-")</f>
        <v>-</v>
      </c>
    </row>
    <row r="71" spans="2:12" ht="12.75" customHeight="1">
      <c r="B71" s="285">
        <v>3714</v>
      </c>
      <c r="C71" s="383" t="s">
        <v>2111</v>
      </c>
      <c r="D71" s="384"/>
      <c r="E71" s="384"/>
      <c r="F71" s="384"/>
      <c r="G71" s="384"/>
      <c r="H71" s="385"/>
      <c r="I71" s="142">
        <v>53</v>
      </c>
      <c r="J71" s="81"/>
      <c r="K71" s="81"/>
      <c r="L71" s="82" t="str">
        <f>IF(J71&gt;0,IF(K71/J71&gt;=100,"&gt;&gt;100",K71/J71*100),"-")</f>
        <v>-</v>
      </c>
    </row>
    <row r="72" spans="2:12" ht="12.75">
      <c r="B72" s="437" t="s">
        <v>3057</v>
      </c>
      <c r="C72" s="438"/>
      <c r="D72" s="438"/>
      <c r="E72" s="438"/>
      <c r="F72" s="438"/>
      <c r="G72" s="438"/>
      <c r="H72" s="438"/>
      <c r="I72" s="438"/>
      <c r="J72" s="438"/>
      <c r="K72" s="438"/>
      <c r="L72" s="439"/>
    </row>
    <row r="73" spans="2:12" ht="12.75" customHeight="1">
      <c r="B73" s="139" t="s">
        <v>18</v>
      </c>
      <c r="C73" s="442" t="s">
        <v>2119</v>
      </c>
      <c r="D73" s="442"/>
      <c r="E73" s="442"/>
      <c r="F73" s="442"/>
      <c r="G73" s="442"/>
      <c r="H73" s="443"/>
      <c r="I73" s="140">
        <v>54</v>
      </c>
      <c r="J73" s="272">
        <f>J74+J86+J127+J128+J139+J147+J158</f>
        <v>3064523</v>
      </c>
      <c r="K73" s="272">
        <f>K74+K86+K127+K128+K139+K147+K158</f>
        <v>3121875</v>
      </c>
      <c r="L73" s="78">
        <f aca="true" t="shared" si="1" ref="L73:L99">IF(J73&gt;0,IF(K73/J73&gt;=100,"&gt;&gt;100",K73/J73*100),"-")</f>
        <v>101.87148211972956</v>
      </c>
    </row>
    <row r="74" spans="2:12" ht="12.75" customHeight="1">
      <c r="B74" s="141" t="s">
        <v>19</v>
      </c>
      <c r="C74" s="440" t="s">
        <v>2120</v>
      </c>
      <c r="D74" s="440"/>
      <c r="E74" s="440"/>
      <c r="F74" s="440"/>
      <c r="G74" s="440"/>
      <c r="H74" s="441"/>
      <c r="I74" s="142">
        <v>55</v>
      </c>
      <c r="J74" s="273">
        <f>J75+J80+J81</f>
        <v>776954</v>
      </c>
      <c r="K74" s="273">
        <f>K75+K80+K81</f>
        <v>966034</v>
      </c>
      <c r="L74" s="79">
        <f t="shared" si="1"/>
        <v>124.33606107954911</v>
      </c>
    </row>
    <row r="75" spans="2:12" ht="12.75" customHeight="1">
      <c r="B75" s="141">
        <v>411</v>
      </c>
      <c r="C75" s="440" t="s">
        <v>2121</v>
      </c>
      <c r="D75" s="440"/>
      <c r="E75" s="440"/>
      <c r="F75" s="440"/>
      <c r="G75" s="440"/>
      <c r="H75" s="441"/>
      <c r="I75" s="142">
        <v>56</v>
      </c>
      <c r="J75" s="273">
        <f>SUM(J76:J79)</f>
        <v>485553</v>
      </c>
      <c r="K75" s="273">
        <f>SUM(K76:K79)</f>
        <v>619920</v>
      </c>
      <c r="L75" s="79">
        <f t="shared" si="1"/>
        <v>127.672983175884</v>
      </c>
    </row>
    <row r="76" spans="2:12" ht="12.75">
      <c r="B76" s="141">
        <v>4111</v>
      </c>
      <c r="C76" s="378" t="s">
        <v>1400</v>
      </c>
      <c r="D76" s="378"/>
      <c r="E76" s="378"/>
      <c r="F76" s="378"/>
      <c r="G76" s="378"/>
      <c r="H76" s="378"/>
      <c r="I76" s="142">
        <v>57</v>
      </c>
      <c r="J76" s="80">
        <v>485553</v>
      </c>
      <c r="K76" s="80">
        <v>596520</v>
      </c>
      <c r="L76" s="79">
        <f t="shared" si="1"/>
        <v>122.85373584346095</v>
      </c>
    </row>
    <row r="77" spans="2:12" ht="12.75">
      <c r="B77" s="141">
        <v>4112</v>
      </c>
      <c r="C77" s="378" t="s">
        <v>1401</v>
      </c>
      <c r="D77" s="378"/>
      <c r="E77" s="378"/>
      <c r="F77" s="378"/>
      <c r="G77" s="378"/>
      <c r="H77" s="378"/>
      <c r="I77" s="142">
        <v>58</v>
      </c>
      <c r="J77" s="80"/>
      <c r="K77" s="80">
        <v>23400</v>
      </c>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v>103132</v>
      </c>
      <c r="K80" s="80">
        <v>97942</v>
      </c>
      <c r="L80" s="79">
        <f t="shared" si="1"/>
        <v>94.96761431951286</v>
      </c>
    </row>
    <row r="81" spans="2:12" ht="12.75" customHeight="1">
      <c r="B81" s="141">
        <v>413</v>
      </c>
      <c r="C81" s="440" t="s">
        <v>2122</v>
      </c>
      <c r="D81" s="440"/>
      <c r="E81" s="440"/>
      <c r="F81" s="440"/>
      <c r="G81" s="440"/>
      <c r="H81" s="441"/>
      <c r="I81" s="142">
        <v>62</v>
      </c>
      <c r="J81" s="273">
        <f>SUM(J82:J85)</f>
        <v>188269</v>
      </c>
      <c r="K81" s="273">
        <f>SUM(K82:K85)</f>
        <v>248172</v>
      </c>
      <c r="L81" s="79">
        <f t="shared" si="1"/>
        <v>131.81777138031222</v>
      </c>
    </row>
    <row r="82" spans="2:12" ht="12.75">
      <c r="B82" s="141">
        <v>4131</v>
      </c>
      <c r="C82" s="378" t="s">
        <v>1404</v>
      </c>
      <c r="D82" s="378"/>
      <c r="E82" s="378"/>
      <c r="F82" s="378"/>
      <c r="G82" s="378"/>
      <c r="H82" s="378"/>
      <c r="I82" s="142">
        <v>63</v>
      </c>
      <c r="J82" s="80">
        <v>48754</v>
      </c>
      <c r="K82" s="80">
        <v>77966</v>
      </c>
      <c r="L82" s="79">
        <f t="shared" si="1"/>
        <v>159.91713500430734</v>
      </c>
    </row>
    <row r="83" spans="2:12" ht="12.75">
      <c r="B83" s="141">
        <v>4132</v>
      </c>
      <c r="C83" s="378" t="s">
        <v>1405</v>
      </c>
      <c r="D83" s="378"/>
      <c r="E83" s="378"/>
      <c r="F83" s="378"/>
      <c r="G83" s="378"/>
      <c r="H83" s="378"/>
      <c r="I83" s="142">
        <v>64</v>
      </c>
      <c r="J83" s="80">
        <v>5132</v>
      </c>
      <c r="K83" s="80"/>
      <c r="L83" s="79">
        <f t="shared" si="1"/>
        <v>0</v>
      </c>
    </row>
    <row r="84" spans="2:12" ht="12.75">
      <c r="B84" s="141">
        <v>4133</v>
      </c>
      <c r="C84" s="378" t="s">
        <v>1619</v>
      </c>
      <c r="D84" s="378"/>
      <c r="E84" s="378"/>
      <c r="F84" s="378"/>
      <c r="G84" s="378"/>
      <c r="H84" s="378"/>
      <c r="I84" s="142">
        <v>65</v>
      </c>
      <c r="J84" s="80">
        <v>134383</v>
      </c>
      <c r="K84" s="80">
        <v>170206</v>
      </c>
      <c r="L84" s="79">
        <f t="shared" si="1"/>
        <v>126.65738969958997</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440" t="s">
        <v>2123</v>
      </c>
      <c r="D86" s="440"/>
      <c r="E86" s="440"/>
      <c r="F86" s="440"/>
      <c r="G86" s="440"/>
      <c r="H86" s="441"/>
      <c r="I86" s="142">
        <v>67</v>
      </c>
      <c r="J86" s="273">
        <f>J87+J91+J96+J101+J106+J116+J121</f>
        <v>1200616</v>
      </c>
      <c r="K86" s="273">
        <f>K87+K91+K96+K101+K106+K116+K121</f>
        <v>1071364</v>
      </c>
      <c r="L86" s="79">
        <f t="shared" si="1"/>
        <v>89.23452627651139</v>
      </c>
    </row>
    <row r="87" spans="2:12" ht="12.75" customHeight="1">
      <c r="B87" s="141">
        <v>421</v>
      </c>
      <c r="C87" s="440" t="s">
        <v>2124</v>
      </c>
      <c r="D87" s="440"/>
      <c r="E87" s="440"/>
      <c r="F87" s="440"/>
      <c r="G87" s="440"/>
      <c r="H87" s="441"/>
      <c r="I87" s="142">
        <v>68</v>
      </c>
      <c r="J87" s="273">
        <f>SUM(J88:J90)</f>
        <v>118019</v>
      </c>
      <c r="K87" s="273">
        <f>SUM(K88:K90)</f>
        <v>323967</v>
      </c>
      <c r="L87" s="79">
        <f t="shared" si="1"/>
        <v>274.50410527118515</v>
      </c>
    </row>
    <row r="88" spans="2:12" ht="12.75">
      <c r="B88" s="141">
        <v>4211</v>
      </c>
      <c r="C88" s="378" t="s">
        <v>20</v>
      </c>
      <c r="D88" s="378"/>
      <c r="E88" s="378"/>
      <c r="F88" s="378"/>
      <c r="G88" s="378"/>
      <c r="H88" s="378"/>
      <c r="I88" s="142">
        <v>69</v>
      </c>
      <c r="J88" s="80">
        <v>54528</v>
      </c>
      <c r="K88" s="80">
        <v>247923</v>
      </c>
      <c r="L88" s="79">
        <f t="shared" si="1"/>
        <v>454.6709947183099</v>
      </c>
    </row>
    <row r="89" spans="2:12" ht="12.75">
      <c r="B89" s="141">
        <v>4212</v>
      </c>
      <c r="C89" s="378" t="s">
        <v>3042</v>
      </c>
      <c r="D89" s="378"/>
      <c r="E89" s="378"/>
      <c r="F89" s="378"/>
      <c r="G89" s="378"/>
      <c r="H89" s="378"/>
      <c r="I89" s="142">
        <v>70</v>
      </c>
      <c r="J89" s="80">
        <v>63491</v>
      </c>
      <c r="K89" s="80">
        <v>74909</v>
      </c>
      <c r="L89" s="79">
        <f t="shared" si="1"/>
        <v>117.98365122615803</v>
      </c>
    </row>
    <row r="90" spans="2:12" ht="12.75">
      <c r="B90" s="141">
        <v>4213</v>
      </c>
      <c r="C90" s="378" t="s">
        <v>2686</v>
      </c>
      <c r="D90" s="378"/>
      <c r="E90" s="378"/>
      <c r="F90" s="378"/>
      <c r="G90" s="378"/>
      <c r="H90" s="378"/>
      <c r="I90" s="142">
        <v>71</v>
      </c>
      <c r="J90" s="80"/>
      <c r="K90" s="80">
        <v>1135</v>
      </c>
      <c r="L90" s="79" t="str">
        <f t="shared" si="1"/>
        <v>-</v>
      </c>
    </row>
    <row r="91" spans="2:12" ht="12.75">
      <c r="B91" s="141">
        <v>422</v>
      </c>
      <c r="C91" s="379" t="s">
        <v>2125</v>
      </c>
      <c r="D91" s="380"/>
      <c r="E91" s="380"/>
      <c r="F91" s="380"/>
      <c r="G91" s="380"/>
      <c r="H91" s="381"/>
      <c r="I91" s="142">
        <v>72</v>
      </c>
      <c r="J91" s="273">
        <f>SUM(J92:J95)</f>
        <v>0</v>
      </c>
      <c r="K91" s="273">
        <f>SUM(K92:K95)</f>
        <v>250049</v>
      </c>
      <c r="L91" s="79" t="str">
        <f t="shared" si="1"/>
        <v>-</v>
      </c>
    </row>
    <row r="92" spans="2:12" ht="12.75">
      <c r="B92" s="141">
        <v>4221</v>
      </c>
      <c r="C92" s="378" t="s">
        <v>2687</v>
      </c>
      <c r="D92" s="378"/>
      <c r="E92" s="378"/>
      <c r="F92" s="378"/>
      <c r="G92" s="378"/>
      <c r="H92" s="378"/>
      <c r="I92" s="142">
        <v>73</v>
      </c>
      <c r="J92" s="80"/>
      <c r="K92" s="80">
        <v>97659</v>
      </c>
      <c r="L92" s="79" t="str">
        <f t="shared" si="1"/>
        <v>-</v>
      </c>
    </row>
    <row r="93" spans="2:12" ht="12.75">
      <c r="B93" s="141">
        <v>4222</v>
      </c>
      <c r="C93" s="378" t="s">
        <v>2688</v>
      </c>
      <c r="D93" s="378"/>
      <c r="E93" s="378"/>
      <c r="F93" s="378"/>
      <c r="G93" s="378"/>
      <c r="H93" s="378"/>
      <c r="I93" s="142">
        <v>74</v>
      </c>
      <c r="J93" s="80"/>
      <c r="K93" s="80">
        <v>19532</v>
      </c>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v>132858</v>
      </c>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481637</v>
      </c>
      <c r="K101" s="273">
        <f>SUM(K102:K105)</f>
        <v>49700</v>
      </c>
      <c r="L101" s="79">
        <f t="shared" si="2"/>
        <v>10.318974663491383</v>
      </c>
    </row>
    <row r="102" spans="2:12" ht="12.75">
      <c r="B102" s="141">
        <v>4241</v>
      </c>
      <c r="C102" s="378" t="s">
        <v>2687</v>
      </c>
      <c r="D102" s="378"/>
      <c r="E102" s="378"/>
      <c r="F102" s="378"/>
      <c r="G102" s="378"/>
      <c r="H102" s="378"/>
      <c r="I102" s="142">
        <v>83</v>
      </c>
      <c r="J102" s="80">
        <v>332719</v>
      </c>
      <c r="K102" s="80">
        <v>49700</v>
      </c>
      <c r="L102" s="79">
        <f t="shared" si="2"/>
        <v>14.937529867545887</v>
      </c>
    </row>
    <row r="103" spans="2:12" ht="12.75">
      <c r="B103" s="141">
        <v>4242</v>
      </c>
      <c r="C103" s="378" t="s">
        <v>2688</v>
      </c>
      <c r="D103" s="378"/>
      <c r="E103" s="378"/>
      <c r="F103" s="378"/>
      <c r="G103" s="378"/>
      <c r="H103" s="378"/>
      <c r="I103" s="142">
        <v>84</v>
      </c>
      <c r="J103" s="80">
        <v>148523</v>
      </c>
      <c r="K103" s="80"/>
      <c r="L103" s="79">
        <f t="shared" si="2"/>
        <v>0</v>
      </c>
    </row>
    <row r="104" spans="2:12" ht="12.75">
      <c r="B104" s="141">
        <v>4243</v>
      </c>
      <c r="C104" s="378" t="s">
        <v>2689</v>
      </c>
      <c r="D104" s="378"/>
      <c r="E104" s="378"/>
      <c r="F104" s="378"/>
      <c r="G104" s="378"/>
      <c r="H104" s="378"/>
      <c r="I104" s="142">
        <v>85</v>
      </c>
      <c r="J104" s="80">
        <v>395</v>
      </c>
      <c r="K104" s="80"/>
      <c r="L104" s="79">
        <f t="shared" si="2"/>
        <v>0</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369416</v>
      </c>
      <c r="K106" s="273">
        <f>SUM(K107:K115)</f>
        <v>343781</v>
      </c>
      <c r="L106" s="79">
        <f t="shared" si="2"/>
        <v>93.06066873118652</v>
      </c>
    </row>
    <row r="107" spans="2:12" ht="12.75">
      <c r="B107" s="141">
        <v>4251</v>
      </c>
      <c r="C107" s="378" t="s">
        <v>1406</v>
      </c>
      <c r="D107" s="378"/>
      <c r="E107" s="378"/>
      <c r="F107" s="378"/>
      <c r="G107" s="378"/>
      <c r="H107" s="378"/>
      <c r="I107" s="142">
        <v>88</v>
      </c>
      <c r="J107" s="80">
        <v>37287</v>
      </c>
      <c r="K107" s="80">
        <v>70328</v>
      </c>
      <c r="L107" s="79">
        <f t="shared" si="2"/>
        <v>188.6126532035294</v>
      </c>
    </row>
    <row r="108" spans="2:12" ht="12.75">
      <c r="B108" s="141">
        <v>4252</v>
      </c>
      <c r="C108" s="378" t="s">
        <v>1407</v>
      </c>
      <c r="D108" s="378"/>
      <c r="E108" s="378"/>
      <c r="F108" s="378"/>
      <c r="G108" s="378"/>
      <c r="H108" s="378"/>
      <c r="I108" s="142">
        <v>89</v>
      </c>
      <c r="J108" s="80">
        <v>7821</v>
      </c>
      <c r="K108" s="80"/>
      <c r="L108" s="79">
        <f t="shared" si="2"/>
        <v>0</v>
      </c>
    </row>
    <row r="109" spans="2:12" ht="12.75">
      <c r="B109" s="141">
        <v>4253</v>
      </c>
      <c r="C109" s="378" t="s">
        <v>1408</v>
      </c>
      <c r="D109" s="378"/>
      <c r="E109" s="378"/>
      <c r="F109" s="378"/>
      <c r="G109" s="378"/>
      <c r="H109" s="378"/>
      <c r="I109" s="142">
        <v>90</v>
      </c>
      <c r="J109" s="80">
        <v>73836</v>
      </c>
      <c r="K109" s="80">
        <v>4033</v>
      </c>
      <c r="L109" s="79">
        <f t="shared" si="2"/>
        <v>5.46210520613251</v>
      </c>
    </row>
    <row r="110" spans="2:12" ht="12.75">
      <c r="B110" s="141">
        <v>4254</v>
      </c>
      <c r="C110" s="378" t="s">
        <v>1409</v>
      </c>
      <c r="D110" s="378"/>
      <c r="E110" s="378"/>
      <c r="F110" s="378"/>
      <c r="G110" s="378"/>
      <c r="H110" s="378"/>
      <c r="I110" s="142">
        <v>91</v>
      </c>
      <c r="J110" s="80"/>
      <c r="K110" s="80"/>
      <c r="L110" s="79" t="str">
        <f t="shared" si="2"/>
        <v>-</v>
      </c>
    </row>
    <row r="111" spans="2:12" ht="12.75">
      <c r="B111" s="141">
        <v>4255</v>
      </c>
      <c r="C111" s="378" t="s">
        <v>1410</v>
      </c>
      <c r="D111" s="378"/>
      <c r="E111" s="378"/>
      <c r="F111" s="378"/>
      <c r="G111" s="378"/>
      <c r="H111" s="378"/>
      <c r="I111" s="142">
        <v>92</v>
      </c>
      <c r="J111" s="80">
        <v>48352</v>
      </c>
      <c r="K111" s="80">
        <v>51757</v>
      </c>
      <c r="L111" s="79">
        <f t="shared" si="2"/>
        <v>107.04210787557909</v>
      </c>
    </row>
    <row r="112" spans="2:12" ht="12.75">
      <c r="B112" s="141">
        <v>4256</v>
      </c>
      <c r="C112" s="378" t="s">
        <v>2533</v>
      </c>
      <c r="D112" s="378"/>
      <c r="E112" s="378"/>
      <c r="F112" s="378"/>
      <c r="G112" s="378"/>
      <c r="H112" s="378"/>
      <c r="I112" s="142">
        <v>93</v>
      </c>
      <c r="J112" s="80">
        <v>1210</v>
      </c>
      <c r="K112" s="80">
        <v>110</v>
      </c>
      <c r="L112" s="79">
        <f t="shared" si="2"/>
        <v>9.090909090909092</v>
      </c>
    </row>
    <row r="113" spans="2:12" ht="12.75">
      <c r="B113" s="141">
        <v>4257</v>
      </c>
      <c r="C113" s="378" t="s">
        <v>2732</v>
      </c>
      <c r="D113" s="378"/>
      <c r="E113" s="378"/>
      <c r="F113" s="378"/>
      <c r="G113" s="378"/>
      <c r="H113" s="378"/>
      <c r="I113" s="142">
        <v>94</v>
      </c>
      <c r="J113" s="80">
        <v>87455</v>
      </c>
      <c r="K113" s="80">
        <v>122037</v>
      </c>
      <c r="L113" s="79">
        <f t="shared" si="2"/>
        <v>139.5426219198445</v>
      </c>
    </row>
    <row r="114" spans="2:12" ht="12.75">
      <c r="B114" s="141">
        <v>4258</v>
      </c>
      <c r="C114" s="378" t="s">
        <v>2534</v>
      </c>
      <c r="D114" s="378"/>
      <c r="E114" s="378"/>
      <c r="F114" s="378"/>
      <c r="G114" s="378"/>
      <c r="H114" s="378"/>
      <c r="I114" s="142">
        <v>95</v>
      </c>
      <c r="J114" s="80">
        <v>5177</v>
      </c>
      <c r="K114" s="80">
        <v>4355</v>
      </c>
      <c r="L114" s="79">
        <f t="shared" si="2"/>
        <v>84.12207842379756</v>
      </c>
    </row>
    <row r="115" spans="2:12" ht="12.75">
      <c r="B115" s="141">
        <v>4259</v>
      </c>
      <c r="C115" s="378" t="s">
        <v>2535</v>
      </c>
      <c r="D115" s="378"/>
      <c r="E115" s="378"/>
      <c r="F115" s="378"/>
      <c r="G115" s="378"/>
      <c r="H115" s="378"/>
      <c r="I115" s="142">
        <v>96</v>
      </c>
      <c r="J115" s="80">
        <v>108278</v>
      </c>
      <c r="K115" s="80">
        <v>91161</v>
      </c>
      <c r="L115" s="79">
        <f t="shared" si="2"/>
        <v>84.19161787251335</v>
      </c>
    </row>
    <row r="116" spans="2:12" ht="12.75" customHeight="1">
      <c r="B116" s="141">
        <v>426</v>
      </c>
      <c r="C116" s="378" t="s">
        <v>2129</v>
      </c>
      <c r="D116" s="378"/>
      <c r="E116" s="378"/>
      <c r="F116" s="378"/>
      <c r="G116" s="378"/>
      <c r="H116" s="378"/>
      <c r="I116" s="142">
        <v>97</v>
      </c>
      <c r="J116" s="273">
        <f>SUM(J117:J120)</f>
        <v>130798</v>
      </c>
      <c r="K116" s="273">
        <f>SUM(K117:K120)</f>
        <v>55866</v>
      </c>
      <c r="L116" s="79">
        <f t="shared" si="2"/>
        <v>42.711662257832685</v>
      </c>
    </row>
    <row r="117" spans="2:12" ht="12.75">
      <c r="B117" s="141">
        <v>4261</v>
      </c>
      <c r="C117" s="378" t="s">
        <v>3043</v>
      </c>
      <c r="D117" s="378"/>
      <c r="E117" s="378"/>
      <c r="F117" s="378"/>
      <c r="G117" s="378"/>
      <c r="H117" s="378"/>
      <c r="I117" s="142">
        <v>98</v>
      </c>
      <c r="J117" s="80">
        <v>21239</v>
      </c>
      <c r="K117" s="80">
        <v>27943</v>
      </c>
      <c r="L117" s="79">
        <f t="shared" si="2"/>
        <v>131.56457460332408</v>
      </c>
    </row>
    <row r="118" spans="2:12" ht="12.75">
      <c r="B118" s="141">
        <v>4262</v>
      </c>
      <c r="C118" s="378" t="s">
        <v>2730</v>
      </c>
      <c r="D118" s="378"/>
      <c r="E118" s="378"/>
      <c r="F118" s="378"/>
      <c r="G118" s="378"/>
      <c r="H118" s="378"/>
      <c r="I118" s="142">
        <v>99</v>
      </c>
      <c r="J118" s="80">
        <v>2000</v>
      </c>
      <c r="K118" s="80"/>
      <c r="L118" s="79">
        <f t="shared" si="2"/>
        <v>0</v>
      </c>
    </row>
    <row r="119" spans="2:12" ht="12.75">
      <c r="B119" s="141">
        <v>4263</v>
      </c>
      <c r="C119" s="378" t="s">
        <v>2731</v>
      </c>
      <c r="D119" s="378"/>
      <c r="E119" s="378"/>
      <c r="F119" s="378"/>
      <c r="G119" s="378"/>
      <c r="H119" s="378"/>
      <c r="I119" s="142">
        <v>100</v>
      </c>
      <c r="J119" s="80"/>
      <c r="K119" s="80"/>
      <c r="L119" s="79" t="str">
        <f t="shared" si="2"/>
        <v>-</v>
      </c>
    </row>
    <row r="120" spans="2:12" ht="12.75">
      <c r="B120" s="141">
        <v>4264</v>
      </c>
      <c r="C120" s="378" t="s">
        <v>2693</v>
      </c>
      <c r="D120" s="378"/>
      <c r="E120" s="378"/>
      <c r="F120" s="378"/>
      <c r="G120" s="378"/>
      <c r="H120" s="378"/>
      <c r="I120" s="142">
        <v>101</v>
      </c>
      <c r="J120" s="80">
        <v>107559</v>
      </c>
      <c r="K120" s="80">
        <v>27923</v>
      </c>
      <c r="L120" s="79">
        <f t="shared" si="2"/>
        <v>25.960635558158778</v>
      </c>
    </row>
    <row r="121" spans="2:12" ht="12.75" customHeight="1">
      <c r="B121" s="141">
        <v>429</v>
      </c>
      <c r="C121" s="378" t="s">
        <v>2130</v>
      </c>
      <c r="D121" s="378"/>
      <c r="E121" s="378"/>
      <c r="F121" s="378"/>
      <c r="G121" s="378"/>
      <c r="H121" s="378"/>
      <c r="I121" s="142">
        <v>102</v>
      </c>
      <c r="J121" s="273">
        <f>SUM(J122:J126)</f>
        <v>100746</v>
      </c>
      <c r="K121" s="273">
        <f>SUM(K122:K126)</f>
        <v>48001</v>
      </c>
      <c r="L121" s="79">
        <f t="shared" si="2"/>
        <v>47.64556409187462</v>
      </c>
    </row>
    <row r="122" spans="2:12" ht="12.75">
      <c r="B122" s="141">
        <v>4291</v>
      </c>
      <c r="C122" s="378" t="s">
        <v>2733</v>
      </c>
      <c r="D122" s="378"/>
      <c r="E122" s="378"/>
      <c r="F122" s="378"/>
      <c r="G122" s="378"/>
      <c r="H122" s="378"/>
      <c r="I122" s="142">
        <v>103</v>
      </c>
      <c r="J122" s="80"/>
      <c r="K122" s="80">
        <v>4767</v>
      </c>
      <c r="L122" s="79" t="str">
        <f t="shared" si="2"/>
        <v>-</v>
      </c>
    </row>
    <row r="123" spans="2:12" ht="12.75">
      <c r="B123" s="141">
        <v>4292</v>
      </c>
      <c r="C123" s="378" t="s">
        <v>2734</v>
      </c>
      <c r="D123" s="378"/>
      <c r="E123" s="378"/>
      <c r="F123" s="378"/>
      <c r="G123" s="378"/>
      <c r="H123" s="378"/>
      <c r="I123" s="142">
        <v>104</v>
      </c>
      <c r="J123" s="80">
        <v>76015</v>
      </c>
      <c r="K123" s="80">
        <v>41634</v>
      </c>
      <c r="L123" s="79">
        <f>IF(J123&gt;0,IF(K123/J123&gt;=100,"&gt;&gt;100",K123/J123*100),"-")</f>
        <v>54.77076892718542</v>
      </c>
    </row>
    <row r="124" spans="2:12" ht="12.75">
      <c r="B124" s="141">
        <v>4293</v>
      </c>
      <c r="C124" s="378" t="s">
        <v>2735</v>
      </c>
      <c r="D124" s="378"/>
      <c r="E124" s="378"/>
      <c r="F124" s="378"/>
      <c r="G124" s="378"/>
      <c r="H124" s="378"/>
      <c r="I124" s="142">
        <v>105</v>
      </c>
      <c r="J124" s="80">
        <v>4467</v>
      </c>
      <c r="K124" s="80"/>
      <c r="L124" s="79">
        <f t="shared" si="2"/>
        <v>0</v>
      </c>
    </row>
    <row r="125" spans="2:12" ht="12.75">
      <c r="B125" s="141">
        <v>4294</v>
      </c>
      <c r="C125" s="378" t="s">
        <v>2694</v>
      </c>
      <c r="D125" s="378"/>
      <c r="E125" s="378"/>
      <c r="F125" s="378"/>
      <c r="G125" s="378"/>
      <c r="H125" s="378"/>
      <c r="I125" s="142">
        <v>106</v>
      </c>
      <c r="J125" s="80"/>
      <c r="K125" s="80">
        <v>1250</v>
      </c>
      <c r="L125" s="79" t="str">
        <f t="shared" si="2"/>
        <v>-</v>
      </c>
    </row>
    <row r="126" spans="2:12" ht="12.75">
      <c r="B126" s="141">
        <v>4295</v>
      </c>
      <c r="C126" s="378" t="s">
        <v>2695</v>
      </c>
      <c r="D126" s="378"/>
      <c r="E126" s="378"/>
      <c r="F126" s="378"/>
      <c r="G126" s="378"/>
      <c r="H126" s="378"/>
      <c r="I126" s="142">
        <v>107</v>
      </c>
      <c r="J126" s="80">
        <v>20264</v>
      </c>
      <c r="K126" s="80">
        <v>350</v>
      </c>
      <c r="L126" s="79">
        <f t="shared" si="2"/>
        <v>1.7272009474930912</v>
      </c>
    </row>
    <row r="127" spans="2:12" ht="12.75">
      <c r="B127" s="141">
        <v>43</v>
      </c>
      <c r="C127" s="378" t="s">
        <v>2696</v>
      </c>
      <c r="D127" s="378"/>
      <c r="E127" s="378"/>
      <c r="F127" s="378"/>
      <c r="G127" s="378"/>
      <c r="H127" s="378"/>
      <c r="I127" s="142">
        <v>108</v>
      </c>
      <c r="J127" s="80">
        <v>17098</v>
      </c>
      <c r="K127" s="80">
        <v>17998</v>
      </c>
      <c r="L127" s="79">
        <f>IF(J127&gt;0,IF(K127/J127&gt;=100,"&gt;&gt;100",K127/J127*100),"-")</f>
        <v>105.26377354076499</v>
      </c>
    </row>
    <row r="128" spans="2:12" ht="12.75" customHeight="1">
      <c r="B128" s="141">
        <v>44</v>
      </c>
      <c r="C128" s="378" t="s">
        <v>2131</v>
      </c>
      <c r="D128" s="378"/>
      <c r="E128" s="378"/>
      <c r="F128" s="378"/>
      <c r="G128" s="378"/>
      <c r="H128" s="378"/>
      <c r="I128" s="142">
        <v>109</v>
      </c>
      <c r="J128" s="273">
        <f>J129+J130+J134</f>
        <v>14588</v>
      </c>
      <c r="K128" s="273">
        <f>K129+K130+K134</f>
        <v>12975</v>
      </c>
      <c r="L128" s="79">
        <f t="shared" si="2"/>
        <v>88.94296682204552</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14588</v>
      </c>
      <c r="K134" s="273">
        <f>SUM(K135:K138)</f>
        <v>12975</v>
      </c>
      <c r="L134" s="79">
        <f t="shared" si="2"/>
        <v>88.94296682204552</v>
      </c>
    </row>
    <row r="135" spans="2:12" ht="12.75">
      <c r="B135" s="141">
        <v>4431</v>
      </c>
      <c r="C135" s="378" t="s">
        <v>2736</v>
      </c>
      <c r="D135" s="378"/>
      <c r="E135" s="378"/>
      <c r="F135" s="378"/>
      <c r="G135" s="378"/>
      <c r="H135" s="378"/>
      <c r="I135" s="142">
        <v>116</v>
      </c>
      <c r="J135" s="80">
        <v>7010</v>
      </c>
      <c r="K135" s="80">
        <v>8039</v>
      </c>
      <c r="L135" s="79">
        <f t="shared" si="2"/>
        <v>114.67902995720401</v>
      </c>
    </row>
    <row r="136" spans="2:12" ht="12.75">
      <c r="B136" s="141">
        <v>4432</v>
      </c>
      <c r="C136" s="378" t="s">
        <v>2539</v>
      </c>
      <c r="D136" s="378"/>
      <c r="E136" s="378"/>
      <c r="F136" s="378"/>
      <c r="G136" s="378"/>
      <c r="H136" s="378"/>
      <c r="I136" s="142">
        <v>117</v>
      </c>
      <c r="J136" s="80">
        <v>7440</v>
      </c>
      <c r="K136" s="80">
        <v>4936</v>
      </c>
      <c r="L136" s="79">
        <f t="shared" si="2"/>
        <v>66.34408602150538</v>
      </c>
    </row>
    <row r="137" spans="2:12" ht="12.75">
      <c r="B137" s="141">
        <v>4433</v>
      </c>
      <c r="C137" s="378" t="s">
        <v>1324</v>
      </c>
      <c r="D137" s="378"/>
      <c r="E137" s="378"/>
      <c r="F137" s="378"/>
      <c r="G137" s="378"/>
      <c r="H137" s="378"/>
      <c r="I137" s="142">
        <v>118</v>
      </c>
      <c r="J137" s="80">
        <v>138</v>
      </c>
      <c r="K137" s="80"/>
      <c r="L137" s="79">
        <f t="shared" si="2"/>
        <v>0</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1055267</v>
      </c>
      <c r="K139" s="273">
        <f>K140+K144</f>
        <v>972908</v>
      </c>
      <c r="L139" s="79">
        <f t="shared" si="2"/>
        <v>92.19543489941408</v>
      </c>
    </row>
    <row r="140" spans="2:12" ht="12.75" customHeight="1">
      <c r="B140" s="141">
        <v>451</v>
      </c>
      <c r="C140" s="378" t="s">
        <v>2135</v>
      </c>
      <c r="D140" s="378"/>
      <c r="E140" s="378"/>
      <c r="F140" s="378"/>
      <c r="G140" s="378"/>
      <c r="H140" s="378"/>
      <c r="I140" s="142">
        <v>121</v>
      </c>
      <c r="J140" s="273">
        <f>SUM(J141:J143)</f>
        <v>1000</v>
      </c>
      <c r="K140" s="273">
        <f>SUM(K141:K143)</f>
        <v>333137</v>
      </c>
      <c r="L140" s="79" t="str">
        <f t="shared" si="2"/>
        <v>&gt;&gt;100</v>
      </c>
    </row>
    <row r="141" spans="2:12" ht="12.75">
      <c r="B141" s="141">
        <v>4511</v>
      </c>
      <c r="C141" s="378" t="s">
        <v>1326</v>
      </c>
      <c r="D141" s="378"/>
      <c r="E141" s="378"/>
      <c r="F141" s="378"/>
      <c r="G141" s="378"/>
      <c r="H141" s="378"/>
      <c r="I141" s="142">
        <v>122</v>
      </c>
      <c r="J141" s="80">
        <v>1000</v>
      </c>
      <c r="K141" s="80">
        <v>161768</v>
      </c>
      <c r="L141" s="79" t="str">
        <f t="shared" si="2"/>
        <v>&gt;&gt;100</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v>171369</v>
      </c>
      <c r="L143" s="79" t="str">
        <f>IF(J143&gt;0,IF(K143/J143&gt;=100,"&gt;&gt;100",K143/J143*100),"-")</f>
        <v>-</v>
      </c>
    </row>
    <row r="144" spans="2:12" ht="12.75" customHeight="1">
      <c r="B144" s="141">
        <v>452</v>
      </c>
      <c r="C144" s="378" t="s">
        <v>2138</v>
      </c>
      <c r="D144" s="378"/>
      <c r="E144" s="378"/>
      <c r="F144" s="378"/>
      <c r="G144" s="378"/>
      <c r="H144" s="378"/>
      <c r="I144" s="142">
        <v>125</v>
      </c>
      <c r="J144" s="273">
        <f>J145+J146</f>
        <v>1054267</v>
      </c>
      <c r="K144" s="273">
        <f>K145+K146</f>
        <v>639771</v>
      </c>
      <c r="L144" s="79">
        <f t="shared" si="2"/>
        <v>60.68396336032523</v>
      </c>
    </row>
    <row r="145" spans="2:12" ht="12.75">
      <c r="B145" s="141">
        <v>4521</v>
      </c>
      <c r="C145" s="378" t="s">
        <v>199</v>
      </c>
      <c r="D145" s="378"/>
      <c r="E145" s="378"/>
      <c r="F145" s="378"/>
      <c r="G145" s="378"/>
      <c r="H145" s="378"/>
      <c r="I145" s="142">
        <v>126</v>
      </c>
      <c r="J145" s="80">
        <v>1005517</v>
      </c>
      <c r="K145" s="80">
        <v>639771</v>
      </c>
      <c r="L145" s="79">
        <f>IF(J145&gt;0,IF(K145/J145&gt;=100,"&gt;&gt;100",K145/J145*100),"-")</f>
        <v>63.62607494453102</v>
      </c>
    </row>
    <row r="146" spans="2:12" ht="12.75">
      <c r="B146" s="141">
        <v>4522</v>
      </c>
      <c r="C146" s="378" t="s">
        <v>2137</v>
      </c>
      <c r="D146" s="378"/>
      <c r="E146" s="378"/>
      <c r="F146" s="378"/>
      <c r="G146" s="378"/>
      <c r="H146" s="378"/>
      <c r="I146" s="142">
        <v>127</v>
      </c>
      <c r="J146" s="80">
        <v>48750</v>
      </c>
      <c r="K146" s="80"/>
      <c r="L146" s="79">
        <f>IF(J146&gt;0,IF(K146/J146&gt;=100,"&gt;&gt;100",K146/J146*100),"-")</f>
        <v>0</v>
      </c>
    </row>
    <row r="147" spans="2:12" ht="12.75" customHeight="1">
      <c r="B147" s="141">
        <v>46</v>
      </c>
      <c r="C147" s="378" t="s">
        <v>2139</v>
      </c>
      <c r="D147" s="378"/>
      <c r="E147" s="378"/>
      <c r="F147" s="378"/>
      <c r="G147" s="378"/>
      <c r="H147" s="378"/>
      <c r="I147" s="142">
        <v>128</v>
      </c>
      <c r="J147" s="273">
        <f>J148+J153</f>
        <v>0</v>
      </c>
      <c r="K147" s="273">
        <f>K148+K153</f>
        <v>80596</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80596</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v>80596</v>
      </c>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3064523</v>
      </c>
      <c r="K167" s="273">
        <f>K73-K165+K166</f>
        <v>3121875</v>
      </c>
      <c r="L167" s="79">
        <f t="shared" si="2"/>
        <v>101.87148211972956</v>
      </c>
    </row>
    <row r="168" spans="2:12" ht="12.75" customHeight="1">
      <c r="B168" s="141"/>
      <c r="C168" s="378" t="s">
        <v>1467</v>
      </c>
      <c r="D168" s="378"/>
      <c r="E168" s="378"/>
      <c r="F168" s="378"/>
      <c r="G168" s="378"/>
      <c r="H168" s="378"/>
      <c r="I168" s="142">
        <v>149</v>
      </c>
      <c r="J168" s="273">
        <f>IF(J19&gt;=J167,J19-J167,0)</f>
        <v>641263</v>
      </c>
      <c r="K168" s="273">
        <f>IF(K19&gt;=K167,K19-K167,0)</f>
        <v>0</v>
      </c>
      <c r="L168" s="79">
        <f t="shared" si="2"/>
        <v>0</v>
      </c>
    </row>
    <row r="169" spans="2:12" ht="12.75" customHeight="1">
      <c r="B169" s="141"/>
      <c r="C169" s="378" t="s">
        <v>1468</v>
      </c>
      <c r="D169" s="378"/>
      <c r="E169" s="378"/>
      <c r="F169" s="378"/>
      <c r="G169" s="378"/>
      <c r="H169" s="378"/>
      <c r="I169" s="142">
        <v>150</v>
      </c>
      <c r="J169" s="273">
        <f>IF(J167&gt;=J19,J167-J19,0)</f>
        <v>0</v>
      </c>
      <c r="K169" s="273">
        <f>IF(K167&gt;=K19,K167-K19,0)</f>
        <v>637389</v>
      </c>
      <c r="L169" s="79" t="str">
        <f t="shared" si="2"/>
        <v>-</v>
      </c>
    </row>
    <row r="170" spans="2:12" ht="12.75">
      <c r="B170" s="141">
        <v>5221</v>
      </c>
      <c r="C170" s="378" t="s">
        <v>1333</v>
      </c>
      <c r="D170" s="378"/>
      <c r="E170" s="378"/>
      <c r="F170" s="378"/>
      <c r="G170" s="378"/>
      <c r="H170" s="378"/>
      <c r="I170" s="142">
        <v>151</v>
      </c>
      <c r="J170" s="80">
        <v>1510869</v>
      </c>
      <c r="K170" s="80">
        <v>2152131</v>
      </c>
      <c r="L170" s="79">
        <f t="shared" si="2"/>
        <v>142.44325616582245</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2152132</v>
      </c>
      <c r="K173" s="273">
        <f>IF(K168+K170-K169-K171-K172&gt;=0,K168+K170-K169-K171-K172,0)</f>
        <v>1514742</v>
      </c>
      <c r="L173" s="79">
        <f t="shared" si="2"/>
        <v>70.38332221257804</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v>
      </c>
      <c r="C175" s="438"/>
      <c r="D175" s="438"/>
      <c r="E175" s="438"/>
      <c r="F175" s="438"/>
      <c r="G175" s="438"/>
      <c r="H175" s="438"/>
      <c r="I175" s="438"/>
      <c r="J175" s="438"/>
      <c r="K175" s="438"/>
      <c r="L175" s="439"/>
    </row>
    <row r="176" spans="2:12" ht="12.75">
      <c r="B176" s="139">
        <v>11</v>
      </c>
      <c r="C176" s="397" t="s">
        <v>1334</v>
      </c>
      <c r="D176" s="397"/>
      <c r="E176" s="397"/>
      <c r="F176" s="397"/>
      <c r="G176" s="397"/>
      <c r="H176" s="397"/>
      <c r="I176" s="140">
        <v>156</v>
      </c>
      <c r="J176" s="83">
        <v>679733</v>
      </c>
      <c r="K176" s="83">
        <v>1220957</v>
      </c>
      <c r="L176" s="78">
        <f aca="true" t="shared" si="3" ref="L176:L181">IF(J176&gt;0,IF(K176/J176&gt;=100,"&gt;&gt;100",K176/J176*100),"-")</f>
        <v>179.62302845381936</v>
      </c>
    </row>
    <row r="177" spans="2:12" ht="12.75">
      <c r="B177" s="145" t="s">
        <v>1335</v>
      </c>
      <c r="C177" s="378" t="s">
        <v>1004</v>
      </c>
      <c r="D177" s="378"/>
      <c r="E177" s="378"/>
      <c r="F177" s="378"/>
      <c r="G177" s="378"/>
      <c r="H177" s="378"/>
      <c r="I177" s="142">
        <v>157</v>
      </c>
      <c r="J177" s="80">
        <v>8230601</v>
      </c>
      <c r="K177" s="80">
        <v>4417263</v>
      </c>
      <c r="L177" s="79">
        <f t="shared" si="3"/>
        <v>53.668778258112624</v>
      </c>
    </row>
    <row r="178" spans="2:12" ht="12.75">
      <c r="B178" s="145" t="s">
        <v>3054</v>
      </c>
      <c r="C178" s="378" t="s">
        <v>3055</v>
      </c>
      <c r="D178" s="378"/>
      <c r="E178" s="378"/>
      <c r="F178" s="378"/>
      <c r="G178" s="378"/>
      <c r="H178" s="378"/>
      <c r="I178" s="142">
        <v>158</v>
      </c>
      <c r="J178" s="80">
        <v>7689377</v>
      </c>
      <c r="K178" s="80">
        <v>5175361</v>
      </c>
      <c r="L178" s="79">
        <f t="shared" si="3"/>
        <v>67.30533565983305</v>
      </c>
    </row>
    <row r="179" spans="2:12" ht="12.75" customHeight="1">
      <c r="B179" s="141">
        <v>11</v>
      </c>
      <c r="C179" s="440" t="s">
        <v>1471</v>
      </c>
      <c r="D179" s="440"/>
      <c r="E179" s="440"/>
      <c r="F179" s="440"/>
      <c r="G179" s="440"/>
      <c r="H179" s="441"/>
      <c r="I179" s="142">
        <v>159</v>
      </c>
      <c r="J179" s="273">
        <f>J176+J177-J178</f>
        <v>1220957</v>
      </c>
      <c r="K179" s="273">
        <f>K176+K177-K178</f>
        <v>462859</v>
      </c>
      <c r="L179" s="79">
        <f t="shared" si="3"/>
        <v>37.909525069269435</v>
      </c>
    </row>
    <row r="180" spans="2:12" ht="12.75">
      <c r="B180" s="141"/>
      <c r="C180" s="378" t="s">
        <v>203</v>
      </c>
      <c r="D180" s="378"/>
      <c r="E180" s="378"/>
      <c r="F180" s="378"/>
      <c r="G180" s="378"/>
      <c r="H180" s="378"/>
      <c r="I180" s="142">
        <v>160</v>
      </c>
      <c r="J180" s="80"/>
      <c r="K180" s="80"/>
      <c r="L180" s="79" t="str">
        <f t="shared" si="3"/>
        <v>-</v>
      </c>
    </row>
    <row r="181" spans="2:12" ht="12.75">
      <c r="B181" s="141"/>
      <c r="C181" s="378" t="s">
        <v>204</v>
      </c>
      <c r="D181" s="378"/>
      <c r="E181" s="378"/>
      <c r="F181" s="378"/>
      <c r="G181" s="378"/>
      <c r="H181" s="378"/>
      <c r="I181" s="142">
        <v>161</v>
      </c>
      <c r="J181" s="80"/>
      <c r="K181" s="80"/>
      <c r="L181" s="79" t="str">
        <f t="shared" si="3"/>
        <v>-</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430" t="s">
        <v>2854</v>
      </c>
      <c r="D183" s="430"/>
      <c r="E183" s="430"/>
      <c r="F183" s="430"/>
      <c r="G183" s="430"/>
      <c r="H183" s="430"/>
      <c r="I183" s="144">
        <v>163</v>
      </c>
      <c r="J183" s="81"/>
      <c r="K183" s="81"/>
      <c r="L183" s="82" t="str">
        <f>IF(J183&gt;0,IF(K183/J183&gt;=100,"&gt;&gt;100",K183/J183*100),"-")</f>
        <v>-</v>
      </c>
    </row>
    <row r="184" spans="2:12" ht="12.75">
      <c r="B184" s="431" t="s">
        <v>205</v>
      </c>
      <c r="C184" s="432"/>
      <c r="D184" s="432"/>
      <c r="E184" s="432"/>
      <c r="F184" s="432"/>
      <c r="G184" s="432"/>
      <c r="H184" s="433"/>
      <c r="I184" s="420" t="s">
        <v>2027</v>
      </c>
      <c r="J184" s="420" t="s">
        <v>206</v>
      </c>
      <c r="K184" s="427"/>
      <c r="L184" s="428" t="s">
        <v>616</v>
      </c>
    </row>
    <row r="185" spans="2:12" ht="22.5">
      <c r="B185" s="434"/>
      <c r="C185" s="435"/>
      <c r="D185" s="435"/>
      <c r="E185" s="435"/>
      <c r="F185" s="435"/>
      <c r="G185" s="435"/>
      <c r="H185" s="436"/>
      <c r="I185" s="421"/>
      <c r="J185" s="84" t="s">
        <v>207</v>
      </c>
      <c r="K185" s="85" t="s">
        <v>208</v>
      </c>
      <c r="L185" s="429"/>
    </row>
    <row r="186" spans="2:12" ht="12.75">
      <c r="B186" s="139" t="s">
        <v>226</v>
      </c>
      <c r="C186" s="397" t="s">
        <v>209</v>
      </c>
      <c r="D186" s="397"/>
      <c r="E186" s="397"/>
      <c r="F186" s="397"/>
      <c r="G186" s="397"/>
      <c r="H186" s="397"/>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430" t="s">
        <v>214</v>
      </c>
      <c r="D191" s="430"/>
      <c r="E191" s="430"/>
      <c r="F191" s="430"/>
      <c r="G191" s="430"/>
      <c r="H191" s="430"/>
      <c r="I191" s="144">
        <v>169</v>
      </c>
      <c r="J191" s="81"/>
      <c r="K191" s="81"/>
      <c r="L191" s="82" t="str">
        <f t="shared" si="4"/>
        <v>-</v>
      </c>
    </row>
    <row r="192" spans="2:12" ht="33.75">
      <c r="B192" s="394" t="s">
        <v>2879</v>
      </c>
      <c r="C192" s="395"/>
      <c r="D192" s="395"/>
      <c r="E192" s="395"/>
      <c r="F192" s="395"/>
      <c r="G192" s="395"/>
      <c r="H192" s="396"/>
      <c r="I192" s="86" t="s">
        <v>2027</v>
      </c>
      <c r="J192" s="87" t="s">
        <v>613</v>
      </c>
      <c r="K192" s="88" t="s">
        <v>614</v>
      </c>
      <c r="L192" s="89" t="s">
        <v>616</v>
      </c>
    </row>
    <row r="193" spans="2:12" ht="12.75">
      <c r="B193" s="139"/>
      <c r="C193" s="397" t="s">
        <v>615</v>
      </c>
      <c r="D193" s="397"/>
      <c r="E193" s="397"/>
      <c r="F193" s="397"/>
      <c r="G193" s="397"/>
      <c r="H193" s="397"/>
      <c r="I193" s="140">
        <v>170</v>
      </c>
      <c r="J193" s="83"/>
      <c r="K193" s="83"/>
      <c r="L193" s="78" t="str">
        <f t="shared" si="4"/>
        <v>-</v>
      </c>
    </row>
    <row r="194" spans="2:12" ht="12.75" customHeight="1">
      <c r="B194" s="143"/>
      <c r="C194" s="391" t="s">
        <v>3053</v>
      </c>
      <c r="D194" s="392"/>
      <c r="E194" s="392"/>
      <c r="F194" s="392"/>
      <c r="G194" s="392"/>
      <c r="H194" s="393"/>
      <c r="I194" s="144">
        <v>171</v>
      </c>
      <c r="J194" s="274">
        <f>SUM(J180:J183,J186:J191,J193)</f>
        <v>0</v>
      </c>
      <c r="K194" s="274">
        <f>SUM(K180:K183,K186:K191,K193)</f>
        <v>0</v>
      </c>
      <c r="L194" s="82" t="str">
        <f t="shared" si="4"/>
        <v>-</v>
      </c>
    </row>
    <row r="195" s="118" customFormat="1" ht="14.25"/>
    <row r="196" spans="2:12" s="118" customFormat="1" ht="14.25">
      <c r="B196" s="415"/>
      <c r="C196" s="415"/>
      <c r="D196" s="415"/>
      <c r="E196" s="416"/>
      <c r="F196" s="416"/>
      <c r="G196" s="416"/>
      <c r="H196" s="416"/>
      <c r="I196" s="119"/>
      <c r="J196" s="417" t="s">
        <v>1556</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89" t="str">
        <f>IF(RefStr!N4=1,IF(RefStr!D39&lt;&gt;"",RefStr!D39,""),"")</f>
        <v>NENAD BAKIĆ</v>
      </c>
      <c r="E198" s="389"/>
      <c r="F198" s="389"/>
      <c r="G198" s="389"/>
      <c r="H198" s="389"/>
      <c r="I198" s="173"/>
      <c r="J198" s="422"/>
      <c r="K198" s="422"/>
      <c r="L198" s="422"/>
    </row>
    <row r="199" spans="2:12" s="118" customFormat="1" ht="15" thickBot="1">
      <c r="B199" s="390" t="s">
        <v>2870</v>
      </c>
      <c r="C199" s="390"/>
      <c r="D199" s="223">
        <f>IF(RefStr!N4=1,IF(RefStr!D41&lt;&gt;"",RefStr!D41,""),"")</f>
      </c>
      <c r="E199" s="176"/>
      <c r="F199" s="176"/>
      <c r="G199" s="176"/>
      <c r="H199" s="177"/>
      <c r="I199" s="178"/>
      <c r="J199" s="178"/>
      <c r="K199" s="179"/>
      <c r="L199" s="178"/>
    </row>
    <row r="200" spans="2:12" s="118" customFormat="1" ht="15" thickBot="1">
      <c r="B200" s="448" t="s">
        <v>1649</v>
      </c>
      <c r="C200" s="448"/>
      <c r="D200" s="172" t="str">
        <f>IF(RefStr!N4=1,IF(RefStr!D43&lt;&gt;"",RefStr!D43,""),"")</f>
        <v>ŽELJKA OBAD</v>
      </c>
      <c r="E200" s="172"/>
      <c r="F200" s="172"/>
      <c r="G200" s="172"/>
      <c r="H200" s="171"/>
      <c r="I200" s="171"/>
      <c r="J200" s="171"/>
      <c r="K200" s="171"/>
      <c r="L200" s="171"/>
    </row>
    <row r="201" spans="2:12" s="118" customFormat="1" ht="15" thickBot="1">
      <c r="B201" s="390" t="s">
        <v>1650</v>
      </c>
      <c r="C201" s="390"/>
      <c r="D201" s="387" t="str">
        <f>IF(RefStr!N4=1,IF(RefStr!D45&lt;&gt;"",RefStr!D45,""),"")</f>
        <v>015522832</v>
      </c>
      <c r="E201" s="387"/>
      <c r="F201" s="171"/>
      <c r="G201" s="180"/>
      <c r="H201" s="180"/>
      <c r="I201" s="180"/>
      <c r="J201" s="180"/>
      <c r="K201" s="180"/>
      <c r="L201" s="180"/>
    </row>
    <row r="202" spans="2:12" s="118" customFormat="1" ht="15" thickBot="1">
      <c r="B202" s="390" t="s">
        <v>41</v>
      </c>
      <c r="C202" s="390"/>
      <c r="D202" s="388">
        <f>IF(RefStr!N4=1,IF(RefStr!D47&lt;&gt;"",RefStr!D47,""),"")</f>
      </c>
      <c r="E202" s="388"/>
      <c r="F202" s="181"/>
      <c r="G202" s="181"/>
      <c r="H202" s="181"/>
      <c r="I202" s="181"/>
      <c r="J202" s="181"/>
      <c r="K202" s="180"/>
      <c r="L202" s="180"/>
    </row>
    <row r="203" spans="2:12" s="118" customFormat="1" ht="15" thickBot="1">
      <c r="B203" s="390" t="s">
        <v>1651</v>
      </c>
      <c r="C203" s="390"/>
      <c r="D203" s="398" t="str">
        <f>IF(RefStr!N4=1,IF(RefStr!D49&lt;&gt;"",RefStr!D49,""),"")</f>
        <v>zeljka@fiducia@hr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B1">
      <pane ySplit="1" topLeftCell="A197" activePane="bottomLeft" state="frozen"/>
      <selection pane="topLeft" activeCell="A1" sqref="A1"/>
      <selection pane="bottomLeft" activeCell="B220" sqref="B220:L220"/>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399"/>
      <c r="L2" s="399"/>
    </row>
    <row r="3" spans="2:12" s="27" customFormat="1" ht="30" customHeight="1" thickBot="1">
      <c r="B3" s="405" t="s">
        <v>1568</v>
      </c>
      <c r="C3" s="406"/>
      <c r="D3" s="132"/>
      <c r="E3" s="132"/>
      <c r="F3" s="108"/>
      <c r="G3" s="108"/>
      <c r="H3" s="108"/>
      <c r="I3" s="108"/>
      <c r="J3" s="108"/>
      <c r="K3" s="407" t="s">
        <v>3045</v>
      </c>
      <c r="L3" s="408"/>
    </row>
    <row r="4" spans="2:12" s="27" customFormat="1" ht="30" customHeight="1">
      <c r="B4" s="400" t="s">
        <v>1949</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31.12.2019.</v>
      </c>
      <c r="C6" s="403"/>
      <c r="D6" s="403"/>
      <c r="E6" s="403"/>
      <c r="F6" s="403"/>
      <c r="G6" s="403"/>
      <c r="H6" s="403"/>
      <c r="I6" s="403"/>
      <c r="J6" s="403"/>
      <c r="K6" s="403"/>
      <c r="L6" s="403"/>
      <c r="P6" s="264" t="s">
        <v>769</v>
      </c>
    </row>
    <row r="7" spans="2:16" ht="18" customHeight="1" thickBot="1">
      <c r="B7" s="409" t="s">
        <v>11</v>
      </c>
      <c r="C7" s="410"/>
      <c r="D7" s="411" t="str">
        <f>IF(RefStr!O4=1,IF(RefStr!C7&lt;&gt;"",RefStr!C7,""),"")</f>
        <v>INSTITUT ZA RAZVOJ I INOVATIVNOST MLADIH-IRIM</v>
      </c>
      <c r="E7" s="412"/>
      <c r="F7" s="412"/>
      <c r="G7" s="412"/>
      <c r="H7" s="412"/>
      <c r="I7" s="412"/>
      <c r="J7" s="412"/>
      <c r="K7" s="412"/>
      <c r="L7" s="412"/>
      <c r="P7" s="27" t="s">
        <v>1611</v>
      </c>
    </row>
    <row r="8" spans="2:12" ht="18" customHeight="1" thickBot="1">
      <c r="B8" s="409" t="s">
        <v>2026</v>
      </c>
      <c r="C8" s="409"/>
      <c r="D8" s="231">
        <f>IF(RefStr!O4=1,IF(RefStr!C9&lt;&gt;"",RefStr!C9,""),"")</f>
        <v>10000</v>
      </c>
      <c r="E8" s="121"/>
      <c r="F8" s="128" t="s">
        <v>2029</v>
      </c>
      <c r="G8" s="413" t="str">
        <f>IF(RefStr!O4=1,IF(RefStr!E9&lt;&gt;"",RefStr!E9,""),"")</f>
        <v>ZAGREB</v>
      </c>
      <c r="H8" s="414"/>
      <c r="I8" s="414"/>
      <c r="J8" s="414"/>
      <c r="K8" s="414"/>
      <c r="L8" s="414"/>
    </row>
    <row r="9" spans="2:12" ht="18" customHeight="1" thickBot="1">
      <c r="B9" s="409" t="s">
        <v>12</v>
      </c>
      <c r="C9" s="409"/>
      <c r="D9" s="413" t="str">
        <f>IF(RefStr!O4=1,IF(RefStr!C11&lt;&gt;"",RefStr!C11,""),"")</f>
        <v>STROJARSKA CESTA 20</v>
      </c>
      <c r="E9" s="413"/>
      <c r="F9" s="413"/>
      <c r="G9" s="413"/>
      <c r="H9" s="413"/>
      <c r="I9" s="413"/>
      <c r="J9" s="413"/>
      <c r="K9" s="413"/>
      <c r="L9" s="413"/>
    </row>
    <row r="10" spans="2:12" ht="18" customHeight="1" thickBot="1">
      <c r="B10" s="409" t="s">
        <v>2727</v>
      </c>
      <c r="C10" s="409" t="s">
        <v>2856</v>
      </c>
      <c r="D10" s="418" t="str">
        <f>IF(RefStr!O4=1,IF(RefStr!C13&lt;&gt;"",RefStr!C13,""),"")</f>
        <v>HR5124020061100717959</v>
      </c>
      <c r="E10" s="419"/>
      <c r="F10" s="419"/>
      <c r="G10" s="122"/>
      <c r="H10" s="122"/>
      <c r="I10" s="136"/>
      <c r="J10" s="128" t="s">
        <v>791</v>
      </c>
      <c r="K10" s="227">
        <f>IF(RefStr!O4=1,IF(RefStr!J9&lt;&gt;"",RefStr!J9,""),"")</f>
        <v>287998</v>
      </c>
      <c r="L10" s="136"/>
    </row>
    <row r="11" spans="2:12" ht="18" customHeight="1" thickBot="1">
      <c r="B11" s="423" t="s">
        <v>14</v>
      </c>
      <c r="C11" s="424"/>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04293967</v>
      </c>
      <c r="L11" s="136"/>
    </row>
    <row r="12" spans="2:12" ht="18" customHeight="1" thickBot="1">
      <c r="B12" s="409" t="s">
        <v>2858</v>
      </c>
      <c r="C12" s="424"/>
      <c r="D12" s="124">
        <f>IF(RefStr!O4=1,IF(RefStr!C17&lt;&gt;"",RefStr!C17,""),"")</f>
        <v>133</v>
      </c>
      <c r="E12" s="233" t="str">
        <f>IF(RefStr!D17&lt;&gt;"",RefStr!D17,"")</f>
        <v>Grad/općina: GRAD ZAGREB</v>
      </c>
      <c r="F12" s="125"/>
      <c r="G12" s="122"/>
      <c r="H12" s="122"/>
      <c r="I12" s="126"/>
      <c r="J12" s="208" t="s">
        <v>792</v>
      </c>
      <c r="K12" s="425">
        <f>IF(RefStr!O4=1,IF(RefStr!J13&lt;&gt;"",RefStr!J13,""),"")</f>
        <v>29139223214</v>
      </c>
      <c r="L12" s="426"/>
    </row>
    <row r="13" spans="2:12" ht="18" customHeight="1" thickBot="1">
      <c r="B13" s="136"/>
      <c r="C13" s="127"/>
      <c r="D13" s="262"/>
      <c r="E13" s="263"/>
      <c r="F13" s="263"/>
      <c r="G13" s="263"/>
      <c r="H13" s="263"/>
      <c r="I13" s="423" t="s">
        <v>2857</v>
      </c>
      <c r="J13" s="424"/>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1950</v>
      </c>
      <c r="C18" s="438"/>
      <c r="D18" s="438"/>
      <c r="E18" s="438"/>
      <c r="F18" s="438"/>
      <c r="G18" s="438"/>
      <c r="H18" s="438"/>
      <c r="I18" s="438"/>
      <c r="J18" s="438"/>
      <c r="K18" s="438"/>
      <c r="L18" s="439"/>
    </row>
    <row r="19" spans="2:12" ht="14.25">
      <c r="B19" s="146"/>
      <c r="C19" s="470" t="s">
        <v>2861</v>
      </c>
      <c r="D19" s="471"/>
      <c r="E19" s="471"/>
      <c r="F19" s="471"/>
      <c r="G19" s="471"/>
      <c r="H19" s="471"/>
      <c r="I19" s="147">
        <v>1</v>
      </c>
      <c r="J19" s="148">
        <f>J20+J92</f>
        <v>2415220</v>
      </c>
      <c r="K19" s="148">
        <f>K20+K92</f>
        <v>1948366</v>
      </c>
      <c r="L19" s="134">
        <f aca="true" t="shared" si="0" ref="L19:L50">IF(J19&gt;0,IF(K19/J19&gt;=100,"&gt;&gt;100",K19/J19*100),"-")</f>
        <v>80.67033230927203</v>
      </c>
    </row>
    <row r="20" spans="2:12" ht="14.25">
      <c r="B20" s="149">
        <v>0</v>
      </c>
      <c r="C20" s="464" t="s">
        <v>1951</v>
      </c>
      <c r="D20" s="465"/>
      <c r="E20" s="465"/>
      <c r="F20" s="465"/>
      <c r="G20" s="465"/>
      <c r="H20" s="465"/>
      <c r="I20" s="150">
        <v>2</v>
      </c>
      <c r="J20" s="151">
        <f>J21+J36+J65+J69+J73+J82</f>
        <v>618734</v>
      </c>
      <c r="K20" s="151">
        <f>K21+K36+K65+K69+K73+K82</f>
        <v>993548</v>
      </c>
      <c r="L20" s="152">
        <f t="shared" si="0"/>
        <v>160.57756645020316</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60351</v>
      </c>
      <c r="K36" s="151">
        <f>K37+K41+K49+K52+K57+K60-K64</f>
        <v>53485</v>
      </c>
      <c r="L36" s="152">
        <f t="shared" si="0"/>
        <v>88.62322082484134</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87421</v>
      </c>
      <c r="K41" s="151">
        <f>SUM(K42:K48)</f>
        <v>98553</v>
      </c>
      <c r="L41" s="152">
        <f t="shared" si="0"/>
        <v>112.73378250077212</v>
      </c>
    </row>
    <row r="42" spans="2:12" ht="14.25">
      <c r="B42" s="153" t="s">
        <v>2912</v>
      </c>
      <c r="C42" s="457" t="s">
        <v>2913</v>
      </c>
      <c r="D42" s="458"/>
      <c r="E42" s="458"/>
      <c r="F42" s="458"/>
      <c r="G42" s="458"/>
      <c r="H42" s="458"/>
      <c r="I42" s="150">
        <v>24</v>
      </c>
      <c r="J42" s="154"/>
      <c r="K42" s="155"/>
      <c r="L42" s="152" t="str">
        <f t="shared" si="0"/>
        <v>-</v>
      </c>
    </row>
    <row r="43" spans="2:12" ht="14.25">
      <c r="B43" s="153" t="s">
        <v>2914</v>
      </c>
      <c r="C43" s="457" t="s">
        <v>2915</v>
      </c>
      <c r="D43" s="458"/>
      <c r="E43" s="458"/>
      <c r="F43" s="458"/>
      <c r="G43" s="458"/>
      <c r="H43" s="458"/>
      <c r="I43" s="150">
        <v>25</v>
      </c>
      <c r="J43" s="154"/>
      <c r="K43" s="155"/>
      <c r="L43" s="152" t="str">
        <f t="shared" si="0"/>
        <v>-</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v>87421</v>
      </c>
      <c r="K48" s="155">
        <v>98553</v>
      </c>
      <c r="L48" s="152">
        <f t="shared" si="0"/>
        <v>112.73378250077212</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27070</v>
      </c>
      <c r="K64" s="155">
        <v>45068</v>
      </c>
      <c r="L64" s="152">
        <f t="shared" si="1"/>
        <v>166.4868858514961</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143560</v>
      </c>
      <c r="K71" s="155">
        <v>168892</v>
      </c>
      <c r="L71" s="152">
        <f t="shared" si="1"/>
        <v>117.64558372805796</v>
      </c>
    </row>
    <row r="72" spans="2:12" ht="14.25">
      <c r="B72" s="153" t="s">
        <v>92</v>
      </c>
      <c r="C72" s="457" t="s">
        <v>93</v>
      </c>
      <c r="D72" s="458"/>
      <c r="E72" s="458"/>
      <c r="F72" s="458"/>
      <c r="G72" s="458"/>
      <c r="H72" s="458"/>
      <c r="I72" s="150">
        <v>54</v>
      </c>
      <c r="J72" s="154">
        <v>143560</v>
      </c>
      <c r="K72" s="155">
        <v>168892</v>
      </c>
      <c r="L72" s="152">
        <f t="shared" si="1"/>
        <v>117.64558372805796</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558383</v>
      </c>
      <c r="K82" s="151">
        <f>K83+K88+K91</f>
        <v>940063</v>
      </c>
      <c r="L82" s="152">
        <f t="shared" si="1"/>
        <v>168.35451652360476</v>
      </c>
    </row>
    <row r="83" spans="2:12" ht="14.25">
      <c r="B83" s="153" t="s">
        <v>103</v>
      </c>
      <c r="C83" s="457" t="s">
        <v>104</v>
      </c>
      <c r="D83" s="458"/>
      <c r="E83" s="458"/>
      <c r="F83" s="458"/>
      <c r="G83" s="458"/>
      <c r="H83" s="458"/>
      <c r="I83" s="150">
        <v>65</v>
      </c>
      <c r="J83" s="151">
        <f>SUM(J84:J87)</f>
        <v>558383</v>
      </c>
      <c r="K83" s="151">
        <f>SUM(K84:K87)</f>
        <v>940063</v>
      </c>
      <c r="L83" s="152">
        <f aca="true" t="shared" si="2" ref="L83:L114">IF(J83&gt;0,IF(K83/J83&gt;=100,"&gt;&gt;100",K83/J83*100),"-")</f>
        <v>168.35451652360476</v>
      </c>
    </row>
    <row r="84" spans="2:12" ht="14.25">
      <c r="B84" s="153" t="s">
        <v>1353</v>
      </c>
      <c r="C84" s="457" t="s">
        <v>1354</v>
      </c>
      <c r="D84" s="458"/>
      <c r="E84" s="458"/>
      <c r="F84" s="458"/>
      <c r="G84" s="458"/>
      <c r="H84" s="458"/>
      <c r="I84" s="150">
        <v>66</v>
      </c>
      <c r="J84" s="154">
        <v>555083</v>
      </c>
      <c r="K84" s="155">
        <v>940063</v>
      </c>
      <c r="L84" s="152">
        <f t="shared" si="2"/>
        <v>169.3553936978794</v>
      </c>
    </row>
    <row r="85" spans="2:12" ht="14.25">
      <c r="B85" s="153" t="s">
        <v>1355</v>
      </c>
      <c r="C85" s="457" t="s">
        <v>1356</v>
      </c>
      <c r="D85" s="458"/>
      <c r="E85" s="458"/>
      <c r="F85" s="458"/>
      <c r="G85" s="458"/>
      <c r="H85" s="458"/>
      <c r="I85" s="150">
        <v>67</v>
      </c>
      <c r="J85" s="154">
        <v>3300</v>
      </c>
      <c r="K85" s="155"/>
      <c r="L85" s="152">
        <f t="shared" si="2"/>
        <v>0</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1796486</v>
      </c>
      <c r="K92" s="151">
        <f>K93+K101+K118+K123+K143+K151+K160</f>
        <v>954818</v>
      </c>
      <c r="L92" s="152">
        <f t="shared" si="2"/>
        <v>53.149203500611755</v>
      </c>
    </row>
    <row r="93" spans="2:12" ht="14.25">
      <c r="B93" s="153">
        <v>11</v>
      </c>
      <c r="C93" s="457" t="s">
        <v>1370</v>
      </c>
      <c r="D93" s="458"/>
      <c r="E93" s="458"/>
      <c r="F93" s="458"/>
      <c r="G93" s="458"/>
      <c r="H93" s="458"/>
      <c r="I93" s="150">
        <v>75</v>
      </c>
      <c r="J93" s="151">
        <f>J94+J98+J99+J100</f>
        <v>1220957</v>
      </c>
      <c r="K93" s="151">
        <f>K94+K98+K99+K100</f>
        <v>462859</v>
      </c>
      <c r="L93" s="152">
        <f t="shared" si="2"/>
        <v>37.909525069269435</v>
      </c>
    </row>
    <row r="94" spans="2:12" ht="14.25">
      <c r="B94" s="153">
        <v>111</v>
      </c>
      <c r="C94" s="457" t="s">
        <v>1371</v>
      </c>
      <c r="D94" s="458"/>
      <c r="E94" s="458"/>
      <c r="F94" s="458"/>
      <c r="G94" s="458"/>
      <c r="H94" s="458"/>
      <c r="I94" s="150">
        <v>76</v>
      </c>
      <c r="J94" s="151">
        <f>SUM(J95:J97)</f>
        <v>1220823</v>
      </c>
      <c r="K94" s="151">
        <f>SUM(K95:K97)</f>
        <v>462725</v>
      </c>
      <c r="L94" s="152">
        <f t="shared" si="2"/>
        <v>37.90270989324414</v>
      </c>
    </row>
    <row r="95" spans="2:12" ht="14.25">
      <c r="B95" s="153">
        <v>1111</v>
      </c>
      <c r="C95" s="457" t="s">
        <v>1372</v>
      </c>
      <c r="D95" s="458"/>
      <c r="E95" s="458"/>
      <c r="F95" s="458"/>
      <c r="G95" s="458"/>
      <c r="H95" s="458"/>
      <c r="I95" s="150">
        <v>77</v>
      </c>
      <c r="J95" s="154">
        <v>1043504</v>
      </c>
      <c r="K95" s="155">
        <v>210401</v>
      </c>
      <c r="L95" s="152">
        <f t="shared" si="2"/>
        <v>20.16293181434858</v>
      </c>
    </row>
    <row r="96" spans="2:12" ht="14.25">
      <c r="B96" s="153">
        <v>1112</v>
      </c>
      <c r="C96" s="457" t="s">
        <v>1373</v>
      </c>
      <c r="D96" s="458"/>
      <c r="E96" s="458"/>
      <c r="F96" s="458"/>
      <c r="G96" s="458"/>
      <c r="H96" s="458"/>
      <c r="I96" s="150">
        <v>78</v>
      </c>
      <c r="J96" s="154">
        <v>177319</v>
      </c>
      <c r="K96" s="155">
        <v>252324</v>
      </c>
      <c r="L96" s="152">
        <f t="shared" si="2"/>
        <v>142.2994715738302</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134</v>
      </c>
      <c r="K99" s="155">
        <v>134</v>
      </c>
      <c r="L99" s="152">
        <f t="shared" si="2"/>
        <v>100</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72"/>
      <c r="E101" s="472"/>
      <c r="F101" s="472"/>
      <c r="G101" s="472"/>
      <c r="H101" s="472"/>
      <c r="I101" s="150">
        <v>83</v>
      </c>
      <c r="J101" s="151">
        <f>J102+J105+J106+J107+J113</f>
        <v>105529</v>
      </c>
      <c r="K101" s="151">
        <f>K102+K105+K106+K107+K113</f>
        <v>21959</v>
      </c>
      <c r="L101" s="152">
        <f t="shared" si="2"/>
        <v>20.8084981379526</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3100</v>
      </c>
      <c r="K107" s="151">
        <f>SUM(K108:K112)</f>
        <v>1</v>
      </c>
      <c r="L107" s="152">
        <f t="shared" si="2"/>
        <v>0.03225806451612903</v>
      </c>
    </row>
    <row r="108" spans="2:12" ht="14.25">
      <c r="B108" s="153">
        <v>1241</v>
      </c>
      <c r="C108" s="457" t="s">
        <v>770</v>
      </c>
      <c r="D108" s="458"/>
      <c r="E108" s="458"/>
      <c r="F108" s="458"/>
      <c r="G108" s="458"/>
      <c r="H108" s="458"/>
      <c r="I108" s="150">
        <v>90</v>
      </c>
      <c r="J108" s="154"/>
      <c r="K108" s="155">
        <v>1</v>
      </c>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v>3100</v>
      </c>
      <c r="K112" s="155"/>
      <c r="L112" s="152">
        <f t="shared" si="2"/>
        <v>0</v>
      </c>
    </row>
    <row r="113" spans="2:12" ht="14.25">
      <c r="B113" s="153">
        <v>129</v>
      </c>
      <c r="C113" s="457" t="s">
        <v>1388</v>
      </c>
      <c r="D113" s="458"/>
      <c r="E113" s="458"/>
      <c r="F113" s="458"/>
      <c r="G113" s="458"/>
      <c r="H113" s="458"/>
      <c r="I113" s="150">
        <v>95</v>
      </c>
      <c r="J113" s="151">
        <f>SUM(J114:J117)</f>
        <v>102429</v>
      </c>
      <c r="K113" s="151">
        <f>SUM(K114:K117)</f>
        <v>21958</v>
      </c>
      <c r="L113" s="152">
        <f t="shared" si="2"/>
        <v>21.437288267970985</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v>102429</v>
      </c>
      <c r="K116" s="155">
        <v>21958</v>
      </c>
      <c r="L116" s="152">
        <f t="shared" si="3"/>
        <v>21.437288267970985</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470000</v>
      </c>
      <c r="K143" s="151">
        <f>K144+K147-K150</f>
        <v>470000</v>
      </c>
      <c r="L143" s="152">
        <f t="shared" si="3"/>
        <v>100</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470000</v>
      </c>
      <c r="K147" s="151">
        <f>SUM(K148:K149)</f>
        <v>470000</v>
      </c>
      <c r="L147" s="152">
        <f aca="true" t="shared" si="4" ref="L147:L162">IF(J147&gt;0,IF(K147/J147&gt;=100,"&gt;&gt;100",K147/J147*100),"-")</f>
        <v>100</v>
      </c>
    </row>
    <row r="148" spans="2:12" ht="14.25">
      <c r="B148" s="153">
        <v>1521</v>
      </c>
      <c r="C148" s="457" t="s">
        <v>1321</v>
      </c>
      <c r="D148" s="458"/>
      <c r="E148" s="458"/>
      <c r="F148" s="458"/>
      <c r="G148" s="458"/>
      <c r="H148" s="458"/>
      <c r="I148" s="150">
        <v>130</v>
      </c>
      <c r="J148" s="154">
        <v>470000</v>
      </c>
      <c r="K148" s="155">
        <v>470000</v>
      </c>
      <c r="L148" s="152">
        <f t="shared" si="4"/>
        <v>100</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2415221</v>
      </c>
      <c r="K164" s="148">
        <f>K165+K214</f>
        <v>1948366</v>
      </c>
      <c r="L164" s="160">
        <f aca="true" t="shared" si="5" ref="L164:L195">IF(J164&gt;0,IF(K164/J164&gt;=100,"&gt;&gt;100",K164/J164*100),"-")</f>
        <v>80.67029890846428</v>
      </c>
    </row>
    <row r="165" spans="2:12" ht="14.25">
      <c r="B165" s="149">
        <v>2</v>
      </c>
      <c r="C165" s="464" t="s">
        <v>2483</v>
      </c>
      <c r="D165" s="465"/>
      <c r="E165" s="465"/>
      <c r="F165" s="465"/>
      <c r="G165" s="465"/>
      <c r="H165" s="465"/>
      <c r="I165" s="150">
        <v>146</v>
      </c>
      <c r="J165" s="151">
        <f>J166+J193+J201+J209</f>
        <v>263089</v>
      </c>
      <c r="K165" s="151">
        <f>K166+K193+K201+K209</f>
        <v>433623</v>
      </c>
      <c r="L165" s="161">
        <f t="shared" si="5"/>
        <v>164.819889847162</v>
      </c>
    </row>
    <row r="166" spans="2:12" ht="14.25">
      <c r="B166" s="153">
        <v>24</v>
      </c>
      <c r="C166" s="457" t="s">
        <v>2484</v>
      </c>
      <c r="D166" s="458"/>
      <c r="E166" s="458"/>
      <c r="F166" s="458"/>
      <c r="G166" s="458"/>
      <c r="H166" s="458"/>
      <c r="I166" s="150">
        <v>147</v>
      </c>
      <c r="J166" s="151">
        <f>J167+J175+J183+J187+J188+J189</f>
        <v>131801</v>
      </c>
      <c r="K166" s="151">
        <f>K167+K175+K183+K187+K188+K189</f>
        <v>73623</v>
      </c>
      <c r="L166" s="161">
        <f t="shared" si="5"/>
        <v>55.859211993839196</v>
      </c>
    </row>
    <row r="167" spans="2:12" ht="14.25">
      <c r="B167" s="153">
        <v>241</v>
      </c>
      <c r="C167" s="457" t="s">
        <v>1702</v>
      </c>
      <c r="D167" s="458"/>
      <c r="E167" s="458"/>
      <c r="F167" s="458"/>
      <c r="G167" s="458"/>
      <c r="H167" s="458"/>
      <c r="I167" s="150">
        <v>148</v>
      </c>
      <c r="J167" s="151">
        <f>SUM(J168:J174)</f>
        <v>79072</v>
      </c>
      <c r="K167" s="151">
        <f>SUM(K168:K174)</f>
        <v>54297</v>
      </c>
      <c r="L167" s="161">
        <f t="shared" si="5"/>
        <v>68.66779643868878</v>
      </c>
    </row>
    <row r="168" spans="2:12" ht="14.25">
      <c r="B168" s="153">
        <v>2411</v>
      </c>
      <c r="C168" s="457" t="s">
        <v>1703</v>
      </c>
      <c r="D168" s="458"/>
      <c r="E168" s="458"/>
      <c r="F168" s="458"/>
      <c r="G168" s="458"/>
      <c r="H168" s="458"/>
      <c r="I168" s="150">
        <v>149</v>
      </c>
      <c r="J168" s="162">
        <v>48546</v>
      </c>
      <c r="K168" s="163">
        <v>39845</v>
      </c>
      <c r="L168" s="161">
        <f t="shared" si="5"/>
        <v>82.0767931446463</v>
      </c>
    </row>
    <row r="169" spans="2:12" ht="14.25">
      <c r="B169" s="153">
        <v>2412</v>
      </c>
      <c r="C169" s="457" t="s">
        <v>1704</v>
      </c>
      <c r="D169" s="458"/>
      <c r="E169" s="458"/>
      <c r="F169" s="458"/>
      <c r="G169" s="458"/>
      <c r="H169" s="458"/>
      <c r="I169" s="150">
        <v>150</v>
      </c>
      <c r="J169" s="162">
        <v>6116</v>
      </c>
      <c r="K169" s="163"/>
      <c r="L169" s="161">
        <f t="shared" si="5"/>
        <v>0</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4525</v>
      </c>
      <c r="K171" s="163">
        <v>1849</v>
      </c>
      <c r="L171" s="161">
        <f t="shared" si="5"/>
        <v>40.86187845303868</v>
      </c>
    </row>
    <row r="172" spans="2:12" ht="14.25">
      <c r="B172" s="153">
        <v>2415</v>
      </c>
      <c r="C172" s="457" t="s">
        <v>1707</v>
      </c>
      <c r="D172" s="458"/>
      <c r="E172" s="458"/>
      <c r="F172" s="458"/>
      <c r="G172" s="458"/>
      <c r="H172" s="458"/>
      <c r="I172" s="150">
        <v>153</v>
      </c>
      <c r="J172" s="162">
        <v>13877</v>
      </c>
      <c r="K172" s="163">
        <v>9689</v>
      </c>
      <c r="L172" s="161">
        <f t="shared" si="5"/>
        <v>69.82056640484254</v>
      </c>
    </row>
    <row r="173" spans="2:12" ht="14.25">
      <c r="B173" s="153">
        <v>2416</v>
      </c>
      <c r="C173" s="457" t="s">
        <v>1708</v>
      </c>
      <c r="D173" s="458"/>
      <c r="E173" s="458"/>
      <c r="F173" s="458"/>
      <c r="G173" s="458"/>
      <c r="H173" s="458"/>
      <c r="I173" s="150">
        <v>154</v>
      </c>
      <c r="J173" s="162">
        <v>6008</v>
      </c>
      <c r="K173" s="163">
        <v>2914</v>
      </c>
      <c r="L173" s="161">
        <f t="shared" si="5"/>
        <v>48.50199733688416</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16110</v>
      </c>
      <c r="K175" s="151">
        <f>SUM(K176:K182)</f>
        <v>19326</v>
      </c>
      <c r="L175" s="161">
        <f t="shared" si="5"/>
        <v>119.96275605214153</v>
      </c>
    </row>
    <row r="176" spans="2:12" ht="14.25">
      <c r="B176" s="153">
        <v>2421</v>
      </c>
      <c r="C176" s="457" t="s">
        <v>1711</v>
      </c>
      <c r="D176" s="458"/>
      <c r="E176" s="458"/>
      <c r="F176" s="458"/>
      <c r="G176" s="458"/>
      <c r="H176" s="458"/>
      <c r="I176" s="150">
        <v>157</v>
      </c>
      <c r="J176" s="162">
        <v>1114</v>
      </c>
      <c r="K176" s="163">
        <v>1919</v>
      </c>
      <c r="L176" s="161">
        <f t="shared" si="5"/>
        <v>172.262118491921</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v>5132</v>
      </c>
      <c r="K179" s="163">
        <v>5053</v>
      </c>
      <c r="L179" s="161">
        <f t="shared" si="5"/>
        <v>98.460639127046</v>
      </c>
    </row>
    <row r="180" spans="2:12" ht="14.25">
      <c r="B180" s="153">
        <v>2425</v>
      </c>
      <c r="C180" s="457" t="s">
        <v>1713</v>
      </c>
      <c r="D180" s="458"/>
      <c r="E180" s="458"/>
      <c r="F180" s="458"/>
      <c r="G180" s="458"/>
      <c r="H180" s="458"/>
      <c r="I180" s="150">
        <v>161</v>
      </c>
      <c r="J180" s="162">
        <v>6002</v>
      </c>
      <c r="K180" s="163">
        <v>996</v>
      </c>
      <c r="L180" s="161">
        <f t="shared" si="5"/>
        <v>16.5944685104965</v>
      </c>
    </row>
    <row r="181" spans="2:12" ht="14.25">
      <c r="B181" s="153">
        <v>2426</v>
      </c>
      <c r="C181" s="457" t="s">
        <v>1714</v>
      </c>
      <c r="D181" s="458"/>
      <c r="E181" s="458"/>
      <c r="F181" s="458"/>
      <c r="G181" s="458"/>
      <c r="H181" s="458"/>
      <c r="I181" s="150">
        <v>162</v>
      </c>
      <c r="J181" s="162">
        <v>3862</v>
      </c>
      <c r="K181" s="163">
        <v>11358</v>
      </c>
      <c r="L181" s="161">
        <f t="shared" si="5"/>
        <v>294.0963231486276</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36619</v>
      </c>
      <c r="K189" s="151">
        <f>SUM(K190:K192)</f>
        <v>0</v>
      </c>
      <c r="L189" s="161">
        <f t="shared" si="5"/>
        <v>0</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v>36619</v>
      </c>
      <c r="K191" s="163"/>
      <c r="L191" s="161">
        <f t="shared" si="5"/>
        <v>0</v>
      </c>
    </row>
    <row r="192" spans="2:12" ht="14.25">
      <c r="B192" s="153">
        <v>2493</v>
      </c>
      <c r="C192" s="468" t="s">
        <v>1927</v>
      </c>
      <c r="D192" s="469"/>
      <c r="E192" s="469"/>
      <c r="F192" s="469"/>
      <c r="G192" s="469"/>
      <c r="H192" s="469"/>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100000</v>
      </c>
      <c r="K201" s="151">
        <f>K202+K205-K208</f>
        <v>360000</v>
      </c>
      <c r="L201" s="161">
        <f t="shared" si="6"/>
        <v>360</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100000</v>
      </c>
      <c r="K205" s="151">
        <f>SUM(K206:K207)</f>
        <v>360000</v>
      </c>
      <c r="L205" s="161">
        <f t="shared" si="6"/>
        <v>360</v>
      </c>
    </row>
    <row r="206" spans="2:12" ht="14.25">
      <c r="B206" s="153">
        <v>2621</v>
      </c>
      <c r="C206" s="457" t="s">
        <v>1941</v>
      </c>
      <c r="D206" s="458"/>
      <c r="E206" s="458"/>
      <c r="F206" s="458"/>
      <c r="G206" s="458"/>
      <c r="H206" s="458"/>
      <c r="I206" s="150">
        <v>187</v>
      </c>
      <c r="J206" s="162">
        <v>100000</v>
      </c>
      <c r="K206" s="163">
        <v>360000</v>
      </c>
      <c r="L206" s="161">
        <f t="shared" si="6"/>
        <v>360</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31288</v>
      </c>
      <c r="K209" s="151">
        <f>SUM(K210:K211)</f>
        <v>0</v>
      </c>
      <c r="L209" s="161">
        <f t="shared" si="6"/>
        <v>0</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31288</v>
      </c>
      <c r="K211" s="151">
        <f>SUM(K212:K213)</f>
        <v>0</v>
      </c>
      <c r="L211" s="161">
        <f t="shared" si="6"/>
        <v>0</v>
      </c>
    </row>
    <row r="212" spans="2:12" ht="14.25">
      <c r="B212" s="153">
        <v>2921</v>
      </c>
      <c r="C212" s="457" t="s">
        <v>775</v>
      </c>
      <c r="D212" s="458"/>
      <c r="E212" s="458"/>
      <c r="F212" s="458"/>
      <c r="G212" s="458"/>
      <c r="H212" s="458"/>
      <c r="I212" s="150">
        <v>193</v>
      </c>
      <c r="J212" s="162">
        <v>6247</v>
      </c>
      <c r="K212" s="163"/>
      <c r="L212" s="161">
        <f t="shared" si="6"/>
        <v>0</v>
      </c>
    </row>
    <row r="213" spans="2:12" ht="14.25">
      <c r="B213" s="153">
        <v>2922</v>
      </c>
      <c r="C213" s="457" t="s">
        <v>776</v>
      </c>
      <c r="D213" s="458"/>
      <c r="E213" s="458"/>
      <c r="F213" s="458"/>
      <c r="G213" s="458"/>
      <c r="H213" s="458"/>
      <c r="I213" s="150">
        <v>194</v>
      </c>
      <c r="J213" s="162">
        <v>25041</v>
      </c>
      <c r="K213" s="163"/>
      <c r="L213" s="161">
        <f t="shared" si="6"/>
        <v>0</v>
      </c>
    </row>
    <row r="214" spans="2:12" ht="14.25">
      <c r="B214" s="149">
        <v>5</v>
      </c>
      <c r="C214" s="464" t="s">
        <v>777</v>
      </c>
      <c r="D214" s="465"/>
      <c r="E214" s="465"/>
      <c r="F214" s="465"/>
      <c r="G214" s="465"/>
      <c r="H214" s="465"/>
      <c r="I214" s="150">
        <v>195</v>
      </c>
      <c r="J214" s="151">
        <f>J215+J218-J219</f>
        <v>2152132</v>
      </c>
      <c r="K214" s="151">
        <f>K215+K218-K219</f>
        <v>1514743</v>
      </c>
      <c r="L214" s="161">
        <f t="shared" si="6"/>
        <v>70.38336867812941</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2152132</v>
      </c>
      <c r="K218" s="163">
        <v>1514743</v>
      </c>
      <c r="L218" s="161">
        <f t="shared" si="6"/>
        <v>70.38336867812941</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1556</v>
      </c>
      <c r="K224" s="417"/>
      <c r="L224" s="417"/>
    </row>
    <row r="225" spans="2:12" ht="14.25">
      <c r="B225" s="105"/>
      <c r="C225" s="105"/>
      <c r="D225" s="105"/>
      <c r="E225" s="104"/>
      <c r="F225" s="104"/>
      <c r="G225" s="104"/>
      <c r="H225" s="104"/>
      <c r="I225" s="104"/>
      <c r="J225" s="104"/>
      <c r="K225" s="106"/>
      <c r="L225" s="104"/>
    </row>
    <row r="226" spans="2:12" ht="15" thickBot="1">
      <c r="B226" s="171" t="s">
        <v>2869</v>
      </c>
      <c r="C226" s="171"/>
      <c r="D226" s="389" t="str">
        <f>IF(RefStr!O4=1,IF(RefStr!D39&lt;&gt;"",RefStr!D39,""),"")</f>
        <v>NENAD BAKIĆ</v>
      </c>
      <c r="E226" s="389"/>
      <c r="F226" s="389"/>
      <c r="G226" s="389"/>
      <c r="H226" s="389"/>
      <c r="I226" s="173"/>
      <c r="J226" s="422"/>
      <c r="K226" s="422"/>
      <c r="L226" s="422"/>
    </row>
    <row r="227" spans="2:12" ht="15" thickBot="1">
      <c r="B227" s="390" t="s">
        <v>2870</v>
      </c>
      <c r="C227" s="390"/>
      <c r="D227" s="175">
        <f>IF(RefStr!O4=1,IF(RefStr!D41&lt;&gt;"",RefStr!D41,""),"")</f>
      </c>
      <c r="E227" s="176"/>
      <c r="F227" s="176"/>
      <c r="G227" s="176"/>
      <c r="H227" s="177"/>
      <c r="I227" s="178"/>
      <c r="J227" s="178"/>
      <c r="K227" s="179"/>
      <c r="L227" s="178"/>
    </row>
    <row r="228" spans="2:12" ht="15" thickBot="1">
      <c r="B228" s="448" t="s">
        <v>1649</v>
      </c>
      <c r="C228" s="448"/>
      <c r="D228" s="389" t="str">
        <f>IF(RefStr!O4=1,IF(RefStr!D43&lt;&gt;"",RefStr!D43,""),"")</f>
        <v>ŽELJKA OBAD</v>
      </c>
      <c r="E228" s="389"/>
      <c r="F228" s="389"/>
      <c r="G228" s="389"/>
      <c r="H228" s="171"/>
      <c r="I228" s="171"/>
      <c r="J228" s="171"/>
      <c r="K228" s="171"/>
      <c r="L228" s="171"/>
    </row>
    <row r="229" spans="2:12" ht="15" thickBot="1">
      <c r="B229" s="390" t="s">
        <v>1650</v>
      </c>
      <c r="C229" s="390"/>
      <c r="D229" s="387" t="str">
        <f>IF(RefStr!O4=1,IF(RefStr!D45&lt;&gt;"",RefStr!D45,""),"")</f>
        <v>015522832</v>
      </c>
      <c r="E229" s="387"/>
      <c r="F229" s="171"/>
      <c r="G229" s="180"/>
      <c r="H229" s="180"/>
      <c r="I229" s="180"/>
      <c r="J229" s="180"/>
      <c r="K229" s="180"/>
      <c r="L229" s="180"/>
    </row>
    <row r="230" spans="2:12" ht="15" thickBot="1">
      <c r="B230" s="390" t="s">
        <v>41</v>
      </c>
      <c r="C230" s="390"/>
      <c r="D230" s="388">
        <f>IF(RefStr!O4=1,IF(RefStr!D47&lt;&gt;"",RefStr!D47,""),"")</f>
      </c>
      <c r="E230" s="388"/>
      <c r="F230" s="181"/>
      <c r="G230" s="181"/>
      <c r="H230" s="181"/>
      <c r="I230" s="181"/>
      <c r="J230" s="181"/>
      <c r="K230" s="180"/>
      <c r="L230" s="180"/>
    </row>
    <row r="231" spans="2:12" ht="15" thickBot="1">
      <c r="B231" s="390" t="s">
        <v>1651</v>
      </c>
      <c r="C231" s="390"/>
      <c r="D231" s="398" t="str">
        <f>IF(RefStr!O4=1,IF(RefStr!D49&lt;&gt;"",RefStr!D49,""),"")</f>
        <v>zeljka@fiducia@hr</v>
      </c>
      <c r="E231" s="398"/>
      <c r="F231" s="398"/>
      <c r="G231" s="39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Draženka Pucko Božić</cp:lastModifiedBy>
  <cp:lastPrinted>2019-01-14T12:51:57Z</cp:lastPrinted>
  <dcterms:created xsi:type="dcterms:W3CDTF">2001-11-21T09:32:18Z</dcterms:created>
  <dcterms:modified xsi:type="dcterms:W3CDTF">2020-02-28T15:05:24Z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